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c28290\AppData\Local\Microsoft\Windows\Temporary Internet Files\Content.Outlook\SR4E2JDT\"/>
    </mc:Choice>
  </mc:AlternateContent>
  <workbookProtection workbookPassword="CB1F" lockStructure="1"/>
  <bookViews>
    <workbookView showSheetTabs="0" xWindow="0" yWindow="0" windowWidth="7755" windowHeight="7380" tabRatio="745"/>
  </bookViews>
  <sheets>
    <sheet name="Tabla" sheetId="2" r:id="rId1"/>
    <sheet name="Factor (2)" sheetId="8" state="hidden" r:id="rId2"/>
    <sheet name="Hoja2" sheetId="7" state="hidden" r:id="rId3"/>
  </sheets>
  <definedNames>
    <definedName name="_xlnm.Print_Area" localSheetId="0">Tabla!$A$1:$G$78</definedName>
    <definedName name="Cliente">'Factor (2)'!$G$2:$G$3</definedName>
    <definedName name="Créditos_para_Participantes_del_IESA">'Factor (2)'!$C$93</definedName>
    <definedName name="Forma">'Factor (2)'!$J$2:$J$3</definedName>
    <definedName name="IMax">'Factor (2)'!$F$25</definedName>
    <definedName name="IMin">'Factor (2)'!$E$25</definedName>
    <definedName name="Línea_Educativa_Bancaribe">'Factor (2)'!$C$89:$C$92</definedName>
    <definedName name="Línea_Musical_Bancaribe">'Factor (2)'!$C$94:$C$97</definedName>
    <definedName name="Línea_Nómina">'Factor (2)'!$C$81:$C$84</definedName>
    <definedName name="Línea_Nueva_Vida">'Factor (2)'!$C$85:$C$88</definedName>
    <definedName name="Línea_Personal_Alianza">'Factor (2)'!$C$77:$C$80</definedName>
    <definedName name="Línea_Personal_Bancaribe">'Factor (2)'!$C$73:$C$76</definedName>
    <definedName name="LN">'Factor (2)'!$G$2</definedName>
    <definedName name="MMax">'Factor (2)'!$H$25</definedName>
    <definedName name="MMin">'Factor (2)'!$G$25</definedName>
    <definedName name="Modalidad">'Factor (2)'!$B$14:$B$20</definedName>
    <definedName name="MontoMAx">'Factor (2)'!$H$14:$H$20</definedName>
    <definedName name="MontoMin">'Factor (2)'!$G$14:$G$20</definedName>
    <definedName name="Plazo">'Factor (2)'!$L$2:$L$5</definedName>
    <definedName name="PM">'Factor (2)'!$D$25</definedName>
    <definedName name="SM">'Factor (2)'!$D$6</definedName>
    <definedName name="SM_3">'Factor (2)'!#REF!</definedName>
    <definedName name="Smax">'Factor (2)'!#REF!</definedName>
    <definedName name="Subsidio">'Factor (2)'!$G$2:$G$3</definedName>
    <definedName name="TI">'Factor (2)'!$C$25</definedName>
  </definedNames>
  <calcPr calcId="152511"/>
</workbook>
</file>

<file path=xl/calcChain.xml><?xml version="1.0" encoding="utf-8"?>
<calcChain xmlns="http://schemas.openxmlformats.org/spreadsheetml/2006/main">
  <c r="J20" i="8" l="1"/>
  <c r="J19" i="8"/>
  <c r="J18" i="8"/>
  <c r="J17" i="8"/>
  <c r="J16" i="8"/>
  <c r="J15" i="8"/>
  <c r="J14" i="8"/>
  <c r="I17" i="8" l="1"/>
  <c r="D8" i="8"/>
  <c r="E19" i="8" s="1"/>
  <c r="E20" i="8"/>
  <c r="B25" i="8"/>
  <c r="I19" i="8"/>
  <c r="D26" i="8"/>
  <c r="D25" i="8" s="1"/>
  <c r="C57" i="8" s="1"/>
  <c r="I20" i="8"/>
  <c r="I15" i="8"/>
  <c r="I18" i="8"/>
  <c r="I16" i="8"/>
  <c r="I14" i="8"/>
  <c r="C17" i="2"/>
  <c r="B48" i="8"/>
  <c r="B34" i="8"/>
  <c r="B35" i="8"/>
  <c r="B36" i="8"/>
  <c r="B37" i="8"/>
  <c r="B38" i="8"/>
  <c r="B39" i="8"/>
  <c r="B40" i="8"/>
  <c r="B41" i="8"/>
  <c r="B42" i="8"/>
  <c r="B43" i="8"/>
  <c r="B44" i="8"/>
  <c r="B45" i="8"/>
  <c r="B46" i="8"/>
  <c r="B47" i="8"/>
  <c r="B33" i="8"/>
  <c r="D35" i="2"/>
  <c r="E9" i="8"/>
  <c r="C59" i="8"/>
  <c r="D59" i="8" s="1"/>
  <c r="C54" i="8"/>
  <c r="C53" i="8"/>
  <c r="C58" i="8"/>
  <c r="C55" i="8"/>
  <c r="C52" i="8"/>
  <c r="D66" i="8" s="1"/>
  <c r="D27" i="8"/>
  <c r="C27" i="8"/>
  <c r="B2" i="8"/>
  <c r="C6" i="8"/>
  <c r="C9" i="8" s="1"/>
  <c r="E17" i="2"/>
  <c r="P2" i="8"/>
  <c r="P26" i="8"/>
  <c r="P5" i="8"/>
  <c r="P3" i="8"/>
  <c r="P38" i="8"/>
  <c r="P29" i="8"/>
  <c r="P35" i="8"/>
  <c r="P30" i="8"/>
  <c r="P12" i="8"/>
  <c r="P27" i="8"/>
  <c r="P4" i="8"/>
  <c r="P31" i="8"/>
  <c r="P36" i="8"/>
  <c r="P25" i="8"/>
  <c r="P6" i="8"/>
  <c r="P7" i="8"/>
  <c r="P33" i="8"/>
  <c r="P37" i="8"/>
  <c r="P24" i="8"/>
  <c r="P34" i="8"/>
  <c r="P39" i="8"/>
  <c r="P28" i="8"/>
  <c r="P32" i="8"/>
  <c r="E15" i="8"/>
  <c r="E17" i="8"/>
  <c r="E18" i="8"/>
  <c r="E16" i="8"/>
  <c r="D54" i="8"/>
  <c r="F42" i="8"/>
  <c r="F35" i="8" l="1"/>
  <c r="E54" i="8"/>
  <c r="C65" i="8" s="1"/>
  <c r="D28" i="2" s="1"/>
  <c r="E14" i="8"/>
  <c r="G34" i="8"/>
  <c r="G47" i="8"/>
  <c r="G40" i="8"/>
  <c r="G35" i="8"/>
  <c r="G37" i="8"/>
  <c r="F40" i="8"/>
  <c r="G39" i="8"/>
  <c r="G41" i="8"/>
  <c r="G48" i="8"/>
  <c r="G43" i="8"/>
  <c r="F48" i="8"/>
  <c r="G36" i="8"/>
  <c r="G45" i="8"/>
  <c r="F39" i="8"/>
  <c r="F46" i="8"/>
  <c r="G33" i="8"/>
  <c r="F34" i="8"/>
  <c r="G42" i="8"/>
  <c r="F45" i="8"/>
  <c r="F38" i="8"/>
  <c r="F32" i="8"/>
  <c r="G44" i="8"/>
  <c r="G32" i="8"/>
  <c r="F37" i="8"/>
  <c r="F36" i="8"/>
  <c r="F43" i="8"/>
  <c r="G46" i="8"/>
  <c r="F33" i="8"/>
  <c r="F44" i="8"/>
  <c r="F41" i="8"/>
  <c r="F47" i="8"/>
  <c r="G38" i="8"/>
  <c r="G25" i="8"/>
  <c r="H25" i="8"/>
  <c r="E25" i="8"/>
  <c r="I25" i="8"/>
  <c r="B15" i="2" s="1"/>
  <c r="F25" i="8"/>
  <c r="C26" i="8"/>
  <c r="C25" i="8" s="1"/>
  <c r="J25" i="8"/>
  <c r="B22" i="2" s="1"/>
  <c r="C7" i="8"/>
  <c r="C8" i="8"/>
  <c r="C63" i="8" l="1"/>
  <c r="C62" i="8"/>
  <c r="C56" i="8"/>
  <c r="C61" i="8" s="1"/>
  <c r="D16" i="2"/>
  <c r="C64" i="8" l="1"/>
  <c r="D27" i="2" s="1"/>
  <c r="D65" i="8"/>
  <c r="D64" i="8" l="1"/>
  <c r="D67" i="8" s="1"/>
  <c r="C67" i="8" s="1"/>
  <c r="D68" i="8" l="1"/>
  <c r="B30" i="2" s="1"/>
  <c r="D32" i="2" s="1"/>
  <c r="B32" i="2" l="1"/>
  <c r="D30" i="2"/>
  <c r="B34" i="2" s="1"/>
  <c r="D34" i="2" l="1"/>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8" authorId="0" shapeId="0">
      <text>
        <r>
          <rPr>
            <b/>
            <sz val="8"/>
            <color indexed="81"/>
            <rFont val="Tahoma"/>
            <family val="2"/>
          </rPr>
          <t>Hastes de 230615 era a 22%</t>
        </r>
        <r>
          <rPr>
            <sz val="8"/>
            <color indexed="81"/>
            <rFont val="Tahoma"/>
            <family val="2"/>
          </rPr>
          <t xml:space="preserve">
</t>
        </r>
      </text>
    </comment>
    <comment ref="B30" authorId="0" shapeId="0">
      <text>
        <r>
          <rPr>
            <sz val="8"/>
            <color indexed="81"/>
            <rFont val="Tahoma"/>
            <family val="2"/>
          </rPr>
          <t>Cuando se pida cambio</t>
        </r>
      </text>
    </comment>
  </commentList>
</comments>
</file>

<file path=xl/sharedStrings.xml><?xml version="1.0" encoding="utf-8"?>
<sst xmlns="http://schemas.openxmlformats.org/spreadsheetml/2006/main" count="158" uniqueCount="111">
  <si>
    <t>Capacidad de Pago</t>
  </si>
  <si>
    <t>CMSDM</t>
  </si>
  <si>
    <t>Fact UT</t>
  </si>
  <si>
    <t>UT</t>
  </si>
  <si>
    <t>FactAju</t>
  </si>
  <si>
    <t>Fact Tasa</t>
  </si>
  <si>
    <t>Salario mínimo (Sm)</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</si>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</sst>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_(* \(#,##0\);_(* &quot;-&quot;_);_(@_)"/>
    <numFmt numFmtId="165" formatCode="_(* #,##0.00_);_(* \(#,##0.00\);_(* &quot;-&quot;??_);_(@_)"/>
    <numFmt numFmtId="166" formatCode="&quot;Bs&quot;\ #,##0.00;[Red]&quot;Bs&quot;\ \-#,##0.00"/>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s>
  <fonts count="48"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4">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style="medium">
        <color theme="8"/>
      </top>
      <bottom style="medium">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20">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7" fontId="20" fillId="2" borderId="1" xfId="1" applyNumberFormat="1" applyFont="1" applyFill="1" applyBorder="1" applyAlignment="1" applyProtection="1">
      <alignment horizontal="right" vertical="center"/>
      <protection locked="0"/>
    </xf>
    <xf numFmtId="167" fontId="20" fillId="2" borderId="2" xfId="1" applyNumberFormat="1" applyFont="1" applyFill="1" applyBorder="1" applyAlignment="1" applyProtection="1">
      <alignment horizontal="right" vertical="center"/>
      <protection locked="0"/>
    </xf>
    <xf numFmtId="167" fontId="20" fillId="2" borderId="1" xfId="1" applyNumberFormat="1" applyFont="1" applyFill="1" applyBorder="1" applyAlignment="1" applyProtection="1">
      <alignment horizontal="righ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4"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170" fontId="20" fillId="2" borderId="1" xfId="3"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0" fontId="2" fillId="5" borderId="11" xfId="1" applyNumberFormat="1" applyFont="1" applyFill="1" applyBorder="1" applyAlignment="1" applyProtection="1">
      <alignment horizontal="left"/>
      <protection hidden="1"/>
    </xf>
    <xf numFmtId="14" fontId="1" fillId="5" borderId="11" xfId="1" applyNumberFormat="1" applyFont="1" applyFill="1" applyBorder="1" applyAlignment="1" applyProtection="1">
      <alignment horizontal="center"/>
      <protection hidden="1"/>
    </xf>
    <xf numFmtId="170" fontId="1" fillId="5" borderId="11" xfId="1" applyNumberFormat="1"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7" fontId="1" fillId="0" borderId="11" xfId="2" applyNumberFormat="1" applyFont="1" applyBorder="1" applyAlignment="1" applyProtection="1">
      <alignment horizontal="center"/>
      <protection hidden="1"/>
    </xf>
    <xf numFmtId="165"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5" fontId="1" fillId="0" borderId="0" xfId="1" applyFont="1" applyAlignment="1" applyProtection="1">
      <alignment horizontal="center"/>
      <protection hidden="1"/>
    </xf>
    <xf numFmtId="165"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5" fontId="2" fillId="4" borderId="0" xfId="1" applyFont="1" applyFill="1" applyAlignment="1" applyProtection="1">
      <alignment horizontal="center"/>
      <protection hidden="1"/>
    </xf>
    <xf numFmtId="165"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5" fontId="1" fillId="0" borderId="0" xfId="1" applyFont="1" applyFill="1" applyProtection="1">
      <protection hidden="1"/>
    </xf>
    <xf numFmtId="0" fontId="1" fillId="0" borderId="0" xfId="2" applyFont="1" applyFill="1" applyAlignment="1" applyProtection="1">
      <alignment horizontal="right"/>
      <protection hidden="1"/>
    </xf>
    <xf numFmtId="165"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5"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5" fontId="26" fillId="0" borderId="0" xfId="1" applyFont="1" applyFill="1" applyBorder="1" applyAlignment="1" applyProtection="1">
      <alignment horizontal="center"/>
      <protection hidden="1"/>
    </xf>
    <xf numFmtId="165" fontId="2" fillId="0" borderId="0" xfId="1" applyNumberFormat="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5"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6"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166" fontId="1" fillId="0" borderId="0" xfId="2" applyNumberFormat="1" applyFont="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6"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70"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12" xfId="2" applyFont="1" applyBorder="1" applyProtection="1">
      <protection hidden="1"/>
    </xf>
    <xf numFmtId="0" fontId="1" fillId="0" borderId="21"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0" fontId="1" fillId="0" borderId="12" xfId="2" applyFont="1" applyBorder="1" applyAlignment="1" applyProtection="1">
      <alignment horizontal="center"/>
      <protection hidden="1"/>
    </xf>
    <xf numFmtId="0" fontId="1" fillId="0" borderId="21"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42" fillId="2" borderId="1" xfId="0" applyFont="1" applyFill="1" applyBorder="1" applyAlignment="1" applyProtection="1">
      <alignment horizontal="center" vertical="center" wrapText="1"/>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3" xfId="0" applyFont="1" applyBorder="1" applyAlignment="1" applyProtection="1">
      <alignment horizontal="center" vertical="center"/>
      <protection locked="0"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3" xfId="0" applyFont="1" applyBorder="1" applyAlignment="1" applyProtection="1">
      <alignment horizontal="center" vertical="center"/>
      <protection locked="0" hidden="1"/>
    </xf>
    <xf numFmtId="3" fontId="43" fillId="0" borderId="23"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2" xfId="0" applyFont="1" applyBorder="1" applyAlignment="1" applyProtection="1">
      <alignment horizontal="center" vertical="center"/>
      <protection locked="0" hidden="1"/>
    </xf>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M78"/>
  <sheetViews>
    <sheetView showGridLines="0" showRowColHeaders="0" tabSelected="1" zoomScale="80" zoomScaleNormal="80" workbookViewId="0">
      <selection activeCell="D18" sqref="D18"/>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3.42578125" style="1" customWidth="1"/>
    <col min="6" max="6" width="15.5703125" style="1" customWidth="1"/>
    <col min="7" max="7" width="3.85546875" style="1" hidden="1" customWidth="1"/>
    <col min="8" max="8" width="31" style="1" hidden="1" customWidth="1"/>
    <col min="9" max="9" width="15.140625" style="1" hidden="1" customWidth="1"/>
    <col min="10" max="10" width="15.85546875" style="1" hidden="1" customWidth="1"/>
    <col min="11" max="12" width="18.5703125" style="1" hidden="1" customWidth="1"/>
    <col min="13" max="13" width="18.42578125" style="1" hidden="1" customWidth="1"/>
    <col min="14" max="16384" width="11.42578125" style="1" hidden="1"/>
  </cols>
  <sheetData>
    <row r="1" spans="1:13" s="2" customFormat="1" ht="16.5" customHeight="1" x14ac:dyDescent="0.2"/>
    <row r="2" spans="1:13" s="2" customFormat="1" ht="17.25" customHeight="1" x14ac:dyDescent="0.2">
      <c r="A2" s="214" t="s">
        <v>17</v>
      </c>
      <c r="B2" s="214"/>
      <c r="C2" s="214"/>
      <c r="D2" s="214"/>
      <c r="E2" s="214"/>
      <c r="F2" s="214"/>
      <c r="G2" s="214"/>
    </row>
    <row r="3" spans="1:13" s="2" customFormat="1" ht="8.25" customHeight="1" x14ac:dyDescent="0.2">
      <c r="A3" s="45"/>
      <c r="B3" s="45"/>
      <c r="C3" s="45"/>
      <c r="D3" s="45"/>
      <c r="E3" s="45"/>
      <c r="F3" s="45"/>
      <c r="G3" s="45"/>
    </row>
    <row r="4" spans="1:13" s="2" customFormat="1" ht="12.75" customHeight="1" x14ac:dyDescent="0.2">
      <c r="A4" s="215" t="s">
        <v>23</v>
      </c>
      <c r="B4" s="215"/>
      <c r="C4" s="215"/>
      <c r="D4" s="215"/>
      <c r="E4" s="215"/>
      <c r="F4" s="215"/>
      <c r="G4" s="215"/>
    </row>
    <row r="5" spans="1:13" s="2" customFormat="1" ht="16.5" customHeight="1" x14ac:dyDescent="0.2">
      <c r="A5" s="21"/>
      <c r="B5" s="24"/>
      <c r="C5" s="24"/>
      <c r="D5" s="21"/>
      <c r="E5" s="1"/>
      <c r="F5" s="1"/>
      <c r="G5" s="24"/>
    </row>
    <row r="6" spans="1:13" s="2" customFormat="1" ht="27" hidden="1" customHeight="1" thickBot="1" x14ac:dyDescent="0.25">
      <c r="A6" s="52" t="s">
        <v>51</v>
      </c>
      <c r="B6" s="219"/>
      <c r="C6" s="219"/>
      <c r="D6" s="52" t="s">
        <v>52</v>
      </c>
      <c r="E6" s="219"/>
      <c r="F6" s="219"/>
      <c r="G6" s="24"/>
    </row>
    <row r="7" spans="1:13" s="2" customFormat="1" ht="18" hidden="1" customHeight="1" thickBot="1" x14ac:dyDescent="0.35">
      <c r="A7" s="41" t="s">
        <v>53</v>
      </c>
      <c r="B7" s="217"/>
      <c r="C7" s="217"/>
      <c r="D7" s="53" t="s">
        <v>54</v>
      </c>
      <c r="E7" s="213"/>
      <c r="F7" s="213"/>
      <c r="G7" s="35"/>
    </row>
    <row r="8" spans="1:13" s="2" customFormat="1" ht="20.25" hidden="1" customHeight="1" thickBot="1" x14ac:dyDescent="0.35">
      <c r="A8" s="41" t="s">
        <v>55</v>
      </c>
      <c r="B8" s="216"/>
      <c r="C8" s="216"/>
      <c r="D8" s="53" t="s">
        <v>56</v>
      </c>
      <c r="E8" s="213"/>
      <c r="F8" s="213"/>
      <c r="G8" s="36"/>
    </row>
    <row r="9" spans="1:13" s="2" customFormat="1" ht="24" hidden="1" customHeight="1" x14ac:dyDescent="0.3">
      <c r="A9" s="41"/>
      <c r="B9" s="218"/>
      <c r="C9" s="218"/>
      <c r="D9" s="46"/>
      <c r="E9" s="210"/>
      <c r="F9" s="210"/>
      <c r="G9" s="36"/>
    </row>
    <row r="10" spans="1:13" s="2" customFormat="1" ht="24" customHeight="1" thickBot="1" x14ac:dyDescent="0.35">
      <c r="A10" s="17"/>
      <c r="B10" s="23"/>
      <c r="C10" s="23"/>
      <c r="D10" s="22"/>
      <c r="E10" s="33"/>
      <c r="F10" s="33"/>
      <c r="G10" s="4"/>
    </row>
    <row r="11" spans="1:13" s="2" customFormat="1" ht="24" customHeight="1" thickTop="1" thickBot="1" x14ac:dyDescent="0.35">
      <c r="A11" s="17"/>
      <c r="B11" s="42" t="s">
        <v>18</v>
      </c>
      <c r="C11" s="48" t="s">
        <v>20</v>
      </c>
      <c r="D11" s="51"/>
      <c r="E11" s="33"/>
      <c r="F11" s="33"/>
      <c r="G11" s="4"/>
    </row>
    <row r="12" spans="1:13" s="2" customFormat="1" ht="24" customHeight="1" thickTop="1" thickBot="1" x14ac:dyDescent="0.25">
      <c r="A12" s="17"/>
      <c r="B12" s="43" t="s">
        <v>19</v>
      </c>
      <c r="C12" s="146" t="s">
        <v>103</v>
      </c>
      <c r="D12" s="25" t="s">
        <v>21</v>
      </c>
      <c r="E12" s="33"/>
      <c r="F12" s="33"/>
      <c r="G12" s="4"/>
      <c r="H12" s="1"/>
      <c r="I12" s="1"/>
      <c r="J12" s="1"/>
      <c r="K12" s="1"/>
      <c r="L12" s="1"/>
      <c r="M12" s="1"/>
    </row>
    <row r="13" spans="1:13" s="2" customFormat="1" ht="10.5" customHeight="1" thickTop="1" x14ac:dyDescent="0.3">
      <c r="A13" s="17"/>
      <c r="B13" s="23"/>
      <c r="C13" s="23"/>
      <c r="D13" s="22"/>
      <c r="E13" s="33"/>
      <c r="F13" s="33"/>
      <c r="G13" s="4"/>
      <c r="H13" s="1"/>
      <c r="I13" s="1"/>
      <c r="J13" s="1"/>
      <c r="K13" s="1"/>
      <c r="L13" s="1"/>
      <c r="M13" s="1"/>
    </row>
    <row r="14" spans="1:13" s="2" customFormat="1" ht="24" customHeight="1" thickBot="1" x14ac:dyDescent="0.25">
      <c r="B14" s="209" t="s">
        <v>7</v>
      </c>
      <c r="C14" s="209"/>
      <c r="D14" s="209"/>
      <c r="E14" s="30"/>
      <c r="F14" s="30"/>
      <c r="H14" s="1"/>
      <c r="I14" s="1"/>
      <c r="J14" s="1"/>
      <c r="K14" s="1"/>
      <c r="L14" s="1"/>
      <c r="M14" s="1"/>
    </row>
    <row r="15" spans="1:13" s="2" customFormat="1" ht="39" customHeight="1" thickTop="1" thickBot="1" x14ac:dyDescent="0.25">
      <c r="B15" s="211" t="str">
        <f>+IF(C12="","",'Factor (2)'!I25)</f>
        <v>Monto del crédito solicitado
(Entre Bs.100.000 y Bs.4.650.000)</v>
      </c>
      <c r="C15" s="212"/>
      <c r="D15" s="49"/>
      <c r="E15" s="25" t="s">
        <v>12</v>
      </c>
      <c r="F15" s="30"/>
      <c r="H15" s="1"/>
      <c r="I15" s="1"/>
      <c r="J15" s="1"/>
      <c r="K15" s="1"/>
      <c r="L15" s="1"/>
      <c r="M15" s="1"/>
    </row>
    <row r="16" spans="1:13" s="5" customFormat="1" ht="59.25" customHeight="1" thickTop="1" thickBot="1" x14ac:dyDescent="0.25">
      <c r="A16" s="15"/>
      <c r="B16" s="18"/>
      <c r="C16" s="43" t="s">
        <v>100</v>
      </c>
      <c r="D16" s="190">
        <f>IF(C12="","",'Factor (2)'!C25)</f>
        <v>0.24</v>
      </c>
      <c r="E16" s="177"/>
      <c r="F16" s="4"/>
      <c r="H16" s="16"/>
      <c r="I16" s="16"/>
      <c r="J16" s="16"/>
      <c r="K16" s="16"/>
      <c r="L16" s="16"/>
      <c r="M16" s="16"/>
    </row>
    <row r="17" spans="1:13" s="5" customFormat="1" ht="23.25" hidden="1" customHeight="1" thickTop="1" thickBot="1" x14ac:dyDescent="0.25">
      <c r="A17" s="15"/>
      <c r="B17" s="18"/>
      <c r="C17" s="43" t="str">
        <f>+IF(C12="Créditos para Participantes del IESA","Tasa de Interes a Aplicar al Monto de la Liquidación:","Tasa promocional de Interés:")</f>
        <v>Tasa promocional de Interés:</v>
      </c>
      <c r="D17" s="145"/>
      <c r="E17" s="50" t="str">
        <f>+IF(C12="Créditos para Participantes del IESA","*Campo Requerido","*Campo Opcional")</f>
        <v>*Campo Opcional</v>
      </c>
      <c r="F17" s="4"/>
      <c r="H17" s="1"/>
      <c r="I17" s="140"/>
      <c r="J17" s="140"/>
      <c r="K17" s="140"/>
      <c r="L17" s="140"/>
      <c r="M17" s="140"/>
    </row>
    <row r="18" spans="1:13" s="2" customFormat="1" ht="23.25" customHeight="1" thickTop="1" thickBot="1" x14ac:dyDescent="0.25">
      <c r="A18" s="16"/>
      <c r="B18" s="18"/>
      <c r="C18" s="43" t="s">
        <v>32</v>
      </c>
      <c r="D18" s="180"/>
      <c r="E18" s="25" t="s">
        <v>110</v>
      </c>
      <c r="H18" s="140"/>
      <c r="I18" s="141"/>
      <c r="J18" s="142"/>
      <c r="K18" s="47"/>
      <c r="L18" s="143"/>
      <c r="M18" s="141"/>
    </row>
    <row r="19" spans="1:13" s="2" customFormat="1" ht="20.25" hidden="1" thickTop="1" thickBot="1" x14ac:dyDescent="0.25">
      <c r="A19" s="6"/>
      <c r="B19" s="18"/>
      <c r="C19" s="43" t="s">
        <v>33</v>
      </c>
      <c r="D19" s="40"/>
      <c r="E19" s="50" t="s">
        <v>60</v>
      </c>
      <c r="H19" s="140"/>
      <c r="I19" s="141"/>
      <c r="J19" s="142"/>
      <c r="K19" s="47"/>
      <c r="L19" s="143"/>
      <c r="M19" s="141"/>
    </row>
    <row r="20" spans="1:13" ht="24" customHeight="1" thickTop="1" thickBot="1" x14ac:dyDescent="0.25">
      <c r="A20" s="7"/>
      <c r="B20" s="197" t="s">
        <v>9</v>
      </c>
      <c r="C20" s="197"/>
      <c r="D20" s="197"/>
      <c r="E20" s="7"/>
      <c r="F20" s="7"/>
      <c r="H20" s="140"/>
      <c r="I20" s="141"/>
      <c r="J20" s="142"/>
      <c r="K20" s="47"/>
      <c r="L20" s="143"/>
      <c r="M20" s="141"/>
    </row>
    <row r="21" spans="1:13" ht="24" customHeight="1" thickTop="1" thickBot="1" x14ac:dyDescent="0.25">
      <c r="A21" s="7"/>
      <c r="B21" s="200" t="s">
        <v>80</v>
      </c>
      <c r="C21" s="201"/>
      <c r="D21" s="40"/>
      <c r="E21" s="50" t="s">
        <v>12</v>
      </c>
      <c r="F21" s="7"/>
      <c r="H21" s="140"/>
      <c r="I21" s="141"/>
      <c r="J21" s="142"/>
      <c r="K21" s="47"/>
      <c r="L21" s="143"/>
      <c r="M21" s="141"/>
    </row>
    <row r="22" spans="1:13" s="2" customFormat="1" ht="24" customHeight="1" thickTop="1" thickBot="1" x14ac:dyDescent="0.25">
      <c r="B22" s="196" t="str">
        <f>+IF(C12="","",'Factor (2)'!J25)</f>
        <v>Ingreso Mínimo Requerido Bs.40.638,15</v>
      </c>
      <c r="C22" s="196"/>
      <c r="D22" s="26"/>
      <c r="E22" s="50" t="s">
        <v>12</v>
      </c>
      <c r="F22" s="39"/>
      <c r="H22" s="140"/>
      <c r="I22" s="141"/>
      <c r="J22" s="142"/>
      <c r="K22" s="47"/>
      <c r="L22" s="143"/>
      <c r="M22" s="141"/>
    </row>
    <row r="23" spans="1:13" s="2" customFormat="1" ht="25.5" customHeight="1" thickTop="1" thickBot="1" x14ac:dyDescent="0.25">
      <c r="B23" s="208" t="s">
        <v>36</v>
      </c>
      <c r="C23" s="207"/>
      <c r="D23" s="27"/>
      <c r="E23" s="50" t="s">
        <v>12</v>
      </c>
      <c r="F23" s="39"/>
      <c r="G23" s="25"/>
      <c r="H23" s="140"/>
      <c r="I23" s="141"/>
      <c r="J23" s="142"/>
      <c r="K23" s="47"/>
      <c r="L23" s="143"/>
      <c r="M23" s="141"/>
    </row>
    <row r="24" spans="1:13" s="2" customFormat="1" ht="36.75" customHeight="1" thickTop="1" thickBot="1" x14ac:dyDescent="0.25">
      <c r="A24" s="1"/>
      <c r="B24" s="196" t="s">
        <v>30</v>
      </c>
      <c r="C24" s="196"/>
      <c r="D24" s="27"/>
      <c r="E24" s="50" t="s">
        <v>12</v>
      </c>
      <c r="F24" s="39"/>
      <c r="G24" s="25"/>
      <c r="H24" s="140"/>
      <c r="I24" s="140"/>
      <c r="J24" s="140"/>
      <c r="K24" s="16"/>
      <c r="L24" s="16"/>
      <c r="M24" s="16"/>
    </row>
    <row r="25" spans="1:13" ht="20.25" customHeight="1" thickTop="1" thickBot="1" x14ac:dyDescent="0.25">
      <c r="A25" s="8"/>
      <c r="B25" s="204" t="s">
        <v>8</v>
      </c>
      <c r="C25" s="205"/>
      <c r="D25" s="38"/>
      <c r="E25" s="50" t="s">
        <v>12</v>
      </c>
      <c r="F25" s="39"/>
      <c r="H25" s="140"/>
      <c r="I25" s="47"/>
      <c r="J25" s="47"/>
    </row>
    <row r="26" spans="1:13" ht="20.25" customHeight="1" thickTop="1" thickBot="1" x14ac:dyDescent="0.25">
      <c r="A26" s="8"/>
      <c r="B26" s="206" t="s">
        <v>14</v>
      </c>
      <c r="C26" s="207"/>
      <c r="D26" s="37"/>
      <c r="E26" s="50" t="s">
        <v>12</v>
      </c>
      <c r="F26" s="39"/>
      <c r="H26" s="140"/>
      <c r="I26" s="47"/>
      <c r="J26" s="47"/>
    </row>
    <row r="27" spans="1:13" s="3" customFormat="1" ht="21.75" thickTop="1" thickBot="1" x14ac:dyDescent="0.25">
      <c r="A27" s="9"/>
      <c r="B27" s="192" t="s">
        <v>0</v>
      </c>
      <c r="C27" s="193"/>
      <c r="D27" s="28" t="str">
        <f>+IF(OR(D15="",D21="",D22="",D23="",D24="",D25="",D26=""),"",'Factor (2)'!C64)</f>
        <v/>
      </c>
      <c r="G27" s="34"/>
      <c r="H27" s="140"/>
      <c r="I27" s="1"/>
      <c r="J27" s="47"/>
      <c r="K27" s="47"/>
      <c r="L27" s="1"/>
      <c r="M27" s="1"/>
    </row>
    <row r="28" spans="1:13" s="3" customFormat="1" ht="21.75" thickTop="1" thickBot="1" x14ac:dyDescent="0.25">
      <c r="A28" s="9"/>
      <c r="B28" s="192" t="s">
        <v>1</v>
      </c>
      <c r="C28" s="193"/>
      <c r="D28" s="28" t="str">
        <f>+IF(OR(D15="",D21="",D22="",D23="",D24="",D25="",D26=""),"",'Factor (2)'!C65)</f>
        <v/>
      </c>
      <c r="G28" s="34"/>
      <c r="H28" s="140"/>
      <c r="I28" s="1"/>
      <c r="J28" s="47"/>
      <c r="K28" s="47"/>
      <c r="L28" s="1"/>
      <c r="M28" s="1"/>
    </row>
    <row r="29" spans="1:13" s="3" customFormat="1" ht="19.5" thickTop="1" thickBot="1" x14ac:dyDescent="0.25">
      <c r="A29" s="2"/>
      <c r="B29" s="202" t="s">
        <v>13</v>
      </c>
      <c r="C29" s="202"/>
      <c r="D29" s="202"/>
      <c r="E29" s="25"/>
      <c r="F29" s="25"/>
      <c r="G29" s="25"/>
      <c r="H29" s="140"/>
      <c r="I29" s="47"/>
      <c r="J29" s="47"/>
      <c r="K29" s="144"/>
      <c r="L29" s="144"/>
      <c r="M29" s="144"/>
    </row>
    <row r="30" spans="1:13" s="2" customFormat="1" ht="39.75" customHeight="1" thickTop="1" thickBot="1" x14ac:dyDescent="0.25">
      <c r="A30" s="10"/>
      <c r="B30" s="203" t="str">
        <f>+IF(OR(D15="",D21="",D22="",D23="",D24="",D25="",D26=""),"",'Factor (2)'!D68)</f>
        <v/>
      </c>
      <c r="C30" s="203"/>
      <c r="D30" s="29" t="str">
        <f>+IF(OR(B30="Capacidad de pago insuficiente",B30='Factor (2)'!E9,B30=""),"",'Factor (2)'!D67)</f>
        <v/>
      </c>
      <c r="E30" s="50"/>
      <c r="F30" s="25"/>
      <c r="G30" s="25"/>
      <c r="H30" s="140"/>
      <c r="I30" s="47"/>
      <c r="J30" s="47"/>
      <c r="K30" s="1"/>
      <c r="L30" s="1"/>
      <c r="M30" s="1"/>
    </row>
    <row r="31" spans="1:13" s="2" customFormat="1" ht="19.5" thickTop="1" thickBot="1" x14ac:dyDescent="0.25">
      <c r="A31" s="10"/>
      <c r="B31" s="202" t="s">
        <v>11</v>
      </c>
      <c r="C31" s="202"/>
      <c r="D31" s="202"/>
      <c r="E31" s="25"/>
      <c r="F31" s="25"/>
      <c r="G31" s="25"/>
      <c r="H31" s="140"/>
      <c r="I31" s="140"/>
      <c r="J31" s="1"/>
      <c r="K31" s="1"/>
      <c r="L31" s="1"/>
      <c r="M31" s="1"/>
    </row>
    <row r="32" spans="1:13" s="2" customFormat="1" ht="21.75" thickTop="1" thickBot="1" x14ac:dyDescent="0.25">
      <c r="A32" s="10"/>
      <c r="B32" s="199" t="str">
        <f>+IF(OR(B30="Capacidad de pago insuficiente",B30='Factor (2)'!E9,B30=""),"",IF(C12="Créditos para Participantes del IESA","Cuota estimada mensual a tasa de interes actual","Cuota mensual a tasa de interes actual"))</f>
        <v/>
      </c>
      <c r="C32" s="199"/>
      <c r="D32" s="29" t="str">
        <f>+IF(OR(B30="Capacidad de pago insuficiente",B30='Factor (2)'!E9,B30=""),"",'Factor (2)'!C67)</f>
        <v/>
      </c>
      <c r="E32" s="50"/>
      <c r="F32" s="25"/>
      <c r="G32" s="25"/>
      <c r="H32" s="140"/>
      <c r="I32" s="140"/>
      <c r="J32" s="1"/>
      <c r="K32" s="1"/>
      <c r="L32" s="1"/>
      <c r="M32" s="1"/>
    </row>
    <row r="33" spans="1:9" s="2" customFormat="1" ht="21.75" thickTop="1" thickBot="1" x14ac:dyDescent="0.25">
      <c r="A33" s="10"/>
      <c r="B33" s="20"/>
      <c r="C33" s="20"/>
      <c r="D33" s="19"/>
      <c r="E33" s="25"/>
      <c r="F33" s="25"/>
      <c r="G33" s="25"/>
      <c r="H33" s="25"/>
      <c r="I33" s="25"/>
    </row>
    <row r="34" spans="1:9" s="2" customFormat="1" ht="21.75" hidden="1" thickTop="1" thickBot="1" x14ac:dyDescent="0.25">
      <c r="A34" s="10"/>
      <c r="B34" s="199" t="str">
        <f>+IF(OR(D30="",D17=0,D17="",D17=D16),"",IF(C12="Créditos para Participantes del IESA","",IF(OR(B30="Capacidad de pago insuficiente",B30='Factor (2)'!E9,B30=""),"","Cuota mensual a tasa de interes promocional")))</f>
        <v/>
      </c>
      <c r="C34" s="199"/>
      <c r="D34" s="29" t="str">
        <f>IF(OR(D30="",D17=0,D17="",D17=D16),"",#REF!)</f>
        <v/>
      </c>
      <c r="E34" s="25"/>
      <c r="F34" s="25"/>
      <c r="G34" s="25"/>
      <c r="I34" s="25"/>
    </row>
    <row r="35" spans="1:9" s="2" customFormat="1" ht="24" customHeight="1" thickTop="1" thickBot="1" x14ac:dyDescent="0.25">
      <c r="A35" s="13"/>
      <c r="B35" s="11"/>
      <c r="C35" s="12"/>
      <c r="D35" s="44">
        <f ca="1">TODAY()</f>
        <v>42853</v>
      </c>
      <c r="E35" s="25"/>
      <c r="F35" s="25"/>
      <c r="G35" s="25"/>
      <c r="H35" s="25"/>
      <c r="I35" s="25"/>
    </row>
    <row r="36" spans="1:9" s="2" customFormat="1" ht="37.5" customHeight="1" thickTop="1" thickBot="1" x14ac:dyDescent="0.25">
      <c r="A36" s="13"/>
      <c r="B36" s="194" t="s">
        <v>31</v>
      </c>
      <c r="C36" s="195"/>
      <c r="D36" s="195"/>
      <c r="E36" s="25"/>
      <c r="F36" s="25"/>
      <c r="G36" s="25"/>
      <c r="H36" s="25"/>
      <c r="I36" s="25"/>
    </row>
    <row r="37" spans="1:9" s="2" customFormat="1" ht="18.75" thickTop="1" x14ac:dyDescent="0.2">
      <c r="A37" s="13"/>
      <c r="B37" s="31"/>
      <c r="C37" s="32"/>
      <c r="D37" s="32"/>
      <c r="E37" s="13"/>
      <c r="F37" s="13"/>
    </row>
    <row r="38" spans="1:9" s="2" customFormat="1" ht="18" hidden="1" x14ac:dyDescent="0.2">
      <c r="B38" s="54" t="s">
        <v>57</v>
      </c>
      <c r="C38" s="32"/>
      <c r="D38" s="32"/>
      <c r="E38" s="13"/>
      <c r="F38" s="13"/>
    </row>
    <row r="39" spans="1:9" s="2" customFormat="1" ht="18" hidden="1" x14ac:dyDescent="0.2">
      <c r="B39" s="198"/>
      <c r="C39" s="198"/>
      <c r="D39" s="198"/>
      <c r="E39" s="13"/>
      <c r="F39" s="13"/>
    </row>
    <row r="40" spans="1:9" s="2" customFormat="1" ht="18" hidden="1" x14ac:dyDescent="0.2">
      <c r="B40" s="198"/>
      <c r="C40" s="198"/>
      <c r="D40" s="198"/>
      <c r="E40" s="13"/>
      <c r="F40" s="13"/>
    </row>
    <row r="41" spans="1:9" s="2" customFormat="1" ht="18" hidden="1" x14ac:dyDescent="0.2">
      <c r="B41" s="198"/>
      <c r="C41" s="198"/>
      <c r="D41" s="198"/>
      <c r="E41" s="13"/>
      <c r="F41" s="13"/>
    </row>
    <row r="42" spans="1:9" s="2" customFormat="1" ht="18" hidden="1" x14ac:dyDescent="0.2">
      <c r="B42" s="198"/>
      <c r="C42" s="198"/>
      <c r="D42" s="198"/>
      <c r="E42" s="13"/>
      <c r="F42" s="13"/>
    </row>
    <row r="43" spans="1:9" s="2" customFormat="1" ht="18" hidden="1" x14ac:dyDescent="0.2">
      <c r="B43" s="198"/>
      <c r="C43" s="198"/>
      <c r="D43" s="198"/>
      <c r="E43" s="13"/>
      <c r="F43" s="13"/>
    </row>
    <row r="44" spans="1:9" s="2" customFormat="1" ht="18" hidden="1" x14ac:dyDescent="0.2">
      <c r="B44" s="198"/>
      <c r="C44" s="198"/>
      <c r="D44" s="198"/>
      <c r="E44" s="13"/>
      <c r="F44" s="13"/>
    </row>
    <row r="45" spans="1:9" s="2" customFormat="1" ht="18" hidden="1" x14ac:dyDescent="0.2">
      <c r="B45" s="198"/>
      <c r="C45" s="198"/>
      <c r="D45" s="198"/>
      <c r="E45" s="13"/>
      <c r="F45" s="13"/>
    </row>
    <row r="46" spans="1:9" s="2" customFormat="1" ht="18" hidden="1" x14ac:dyDescent="0.2">
      <c r="B46" s="198"/>
      <c r="C46" s="198"/>
      <c r="D46" s="198"/>
      <c r="E46" s="13"/>
      <c r="F46" s="13"/>
    </row>
    <row r="47" spans="1:9" s="2" customFormat="1" ht="18" hidden="1" x14ac:dyDescent="0.2">
      <c r="B47" s="198"/>
      <c r="C47" s="198"/>
      <c r="D47" s="198"/>
      <c r="E47" s="13"/>
      <c r="F47" s="13"/>
    </row>
    <row r="48" spans="1:9" s="2" customFormat="1" ht="18" hidden="1" x14ac:dyDescent="0.2">
      <c r="B48" s="198"/>
      <c r="C48" s="198"/>
      <c r="D48" s="198"/>
      <c r="E48" s="13"/>
      <c r="F48" s="13"/>
    </row>
    <row r="49" spans="2:6" s="2" customFormat="1" ht="18" hidden="1" x14ac:dyDescent="0.2">
      <c r="B49" s="198"/>
      <c r="C49" s="198"/>
      <c r="D49" s="198"/>
      <c r="E49" s="13"/>
      <c r="F49" s="13"/>
    </row>
    <row r="50" spans="2:6" s="2" customFormat="1" ht="18" hidden="1" x14ac:dyDescent="0.2">
      <c r="B50" s="198"/>
      <c r="C50" s="198"/>
      <c r="D50" s="198"/>
      <c r="E50" s="13"/>
      <c r="F50" s="13"/>
    </row>
    <row r="51" spans="2:6" s="2" customFormat="1" ht="18" hidden="1" x14ac:dyDescent="0.2">
      <c r="B51" s="198"/>
      <c r="C51" s="198"/>
      <c r="D51" s="198"/>
      <c r="E51" s="13"/>
      <c r="F51" s="13"/>
    </row>
    <row r="52" spans="2:6" s="2" customFormat="1" ht="18" hidden="1" x14ac:dyDescent="0.2">
      <c r="B52" s="198"/>
      <c r="C52" s="198"/>
      <c r="D52" s="198"/>
      <c r="E52" s="13"/>
      <c r="F52" s="13"/>
    </row>
    <row r="53" spans="2:6" s="2" customFormat="1" ht="18" hidden="1" x14ac:dyDescent="0.2">
      <c r="B53" s="198"/>
      <c r="C53" s="198"/>
      <c r="D53" s="198"/>
      <c r="E53" s="13"/>
      <c r="F53" s="13"/>
    </row>
    <row r="54" spans="2:6" s="2" customFormat="1" ht="18" hidden="1" x14ac:dyDescent="0.2">
      <c r="B54" s="198"/>
      <c r="C54" s="198"/>
      <c r="D54" s="198"/>
      <c r="E54" s="13"/>
      <c r="F54" s="13"/>
    </row>
    <row r="55" spans="2:6" s="2" customFormat="1" ht="18" hidden="1" x14ac:dyDescent="0.2">
      <c r="B55" s="198"/>
      <c r="C55" s="198"/>
      <c r="D55" s="198"/>
      <c r="E55" s="13"/>
      <c r="F55" s="13"/>
    </row>
    <row r="56" spans="2:6" s="2" customFormat="1" ht="18" hidden="1" x14ac:dyDescent="0.2">
      <c r="B56" s="198"/>
      <c r="C56" s="198"/>
      <c r="D56" s="198"/>
      <c r="E56" s="13"/>
      <c r="F56" s="13"/>
    </row>
    <row r="57" spans="2:6" s="2" customFormat="1" ht="18" hidden="1" x14ac:dyDescent="0.2">
      <c r="B57" s="198"/>
      <c r="C57" s="198"/>
      <c r="D57" s="198"/>
      <c r="E57" s="13"/>
      <c r="F57" s="13"/>
    </row>
    <row r="58" spans="2:6" s="2" customFormat="1" ht="18" hidden="1" x14ac:dyDescent="0.2">
      <c r="B58" s="198"/>
      <c r="C58" s="198"/>
      <c r="D58" s="198"/>
      <c r="E58" s="13"/>
      <c r="F58" s="13"/>
    </row>
    <row r="59" spans="2:6" s="2" customFormat="1" ht="18" hidden="1" x14ac:dyDescent="0.2">
      <c r="B59" s="198"/>
      <c r="C59" s="198"/>
      <c r="D59" s="198"/>
      <c r="E59" s="13"/>
      <c r="F59" s="13"/>
    </row>
    <row r="60" spans="2:6" s="2" customFormat="1" ht="18" hidden="1" x14ac:dyDescent="0.2">
      <c r="B60" s="198"/>
      <c r="C60" s="198"/>
      <c r="D60" s="198"/>
      <c r="E60" s="13"/>
      <c r="F60" s="13"/>
    </row>
    <row r="61" spans="2:6" s="2" customFormat="1" ht="18" hidden="1" x14ac:dyDescent="0.2">
      <c r="B61" s="198"/>
      <c r="C61" s="198"/>
      <c r="D61" s="198"/>
      <c r="E61" s="13"/>
      <c r="F61" s="13"/>
    </row>
    <row r="62" spans="2:6" s="2" customFormat="1" ht="18" hidden="1" x14ac:dyDescent="0.2">
      <c r="B62" s="198"/>
      <c r="C62" s="198"/>
      <c r="D62" s="198"/>
      <c r="E62" s="13"/>
      <c r="F62" s="13"/>
    </row>
    <row r="63" spans="2:6" s="2" customFormat="1" ht="18" hidden="1" x14ac:dyDescent="0.2">
      <c r="B63" s="198"/>
      <c r="C63" s="198"/>
      <c r="D63" s="198"/>
      <c r="E63" s="13"/>
      <c r="F63" s="13"/>
    </row>
    <row r="64" spans="2:6" s="2" customFormat="1" ht="18" hidden="1" x14ac:dyDescent="0.2">
      <c r="B64" s="198"/>
      <c r="C64" s="198"/>
      <c r="D64" s="198"/>
      <c r="E64" s="13"/>
      <c r="F64" s="13"/>
    </row>
    <row r="65" spans="1:6" s="2" customFormat="1" ht="18" hidden="1" x14ac:dyDescent="0.2">
      <c r="B65" s="198"/>
      <c r="C65" s="198"/>
      <c r="D65" s="198"/>
      <c r="E65" s="13"/>
      <c r="F65" s="13"/>
    </row>
    <row r="66" spans="1:6" s="2" customFormat="1" ht="18" hidden="1" x14ac:dyDescent="0.2">
      <c r="B66" s="198"/>
      <c r="C66" s="198"/>
      <c r="D66" s="198"/>
      <c r="E66" s="13"/>
      <c r="F66" s="13"/>
    </row>
    <row r="67" spans="1:6" s="2" customFormat="1" ht="18" hidden="1" x14ac:dyDescent="0.2">
      <c r="B67" s="198"/>
      <c r="C67" s="198"/>
      <c r="D67" s="198"/>
      <c r="E67" s="13"/>
      <c r="F67" s="13"/>
    </row>
    <row r="68" spans="1:6" s="2" customFormat="1" ht="18" hidden="1" x14ac:dyDescent="0.2">
      <c r="B68" s="198"/>
      <c r="C68" s="198"/>
      <c r="D68" s="198"/>
      <c r="E68" s="13"/>
      <c r="F68" s="13"/>
    </row>
    <row r="69" spans="1:6" s="2" customFormat="1" ht="18" hidden="1" x14ac:dyDescent="0.2">
      <c r="B69" s="198"/>
      <c r="C69" s="198"/>
      <c r="D69" s="198"/>
      <c r="E69" s="13"/>
      <c r="F69" s="13"/>
    </row>
    <row r="70" spans="1:6" s="2" customFormat="1" ht="18" hidden="1" x14ac:dyDescent="0.2">
      <c r="B70" s="198"/>
      <c r="C70" s="198"/>
      <c r="D70" s="198"/>
      <c r="E70" s="13"/>
      <c r="F70" s="13"/>
    </row>
    <row r="71" spans="1:6" s="2" customFormat="1" ht="18" hidden="1" x14ac:dyDescent="0.2">
      <c r="B71" s="198"/>
      <c r="C71" s="198"/>
      <c r="D71" s="198"/>
      <c r="E71" s="13"/>
      <c r="F71" s="13"/>
    </row>
    <row r="72" spans="1:6" s="2" customFormat="1" ht="18" hidden="1" x14ac:dyDescent="0.2">
      <c r="B72" s="198"/>
      <c r="C72" s="198"/>
      <c r="D72" s="198"/>
      <c r="E72" s="13"/>
      <c r="F72" s="13"/>
    </row>
    <row r="73" spans="1:6" s="2" customFormat="1" ht="18" hidden="1" x14ac:dyDescent="0.2">
      <c r="B73" s="198"/>
      <c r="C73" s="198"/>
      <c r="D73" s="198"/>
      <c r="E73" s="13"/>
      <c r="F73" s="13"/>
    </row>
    <row r="74" spans="1:6" s="2" customFormat="1" ht="18" hidden="1" x14ac:dyDescent="0.2">
      <c r="B74" s="198"/>
      <c r="C74" s="198"/>
      <c r="D74" s="198"/>
      <c r="E74" s="13"/>
      <c r="F74" s="13"/>
    </row>
    <row r="75" spans="1:6" s="2" customFormat="1" ht="18" hidden="1" x14ac:dyDescent="0.2">
      <c r="B75" s="198"/>
      <c r="C75" s="198"/>
      <c r="D75" s="198"/>
      <c r="E75" s="13"/>
      <c r="F75" s="13"/>
    </row>
    <row r="76" spans="1:6" s="2" customFormat="1" ht="18" hidden="1" x14ac:dyDescent="0.2">
      <c r="B76" s="198"/>
      <c r="C76" s="198"/>
      <c r="D76" s="198"/>
      <c r="E76" s="13"/>
      <c r="F76" s="13"/>
    </row>
    <row r="77" spans="1:6" s="2" customFormat="1" ht="18" hidden="1" x14ac:dyDescent="0.2">
      <c r="B77" s="198"/>
      <c r="C77" s="198"/>
      <c r="D77" s="198"/>
      <c r="E77" s="13"/>
      <c r="F77" s="13"/>
    </row>
    <row r="78" spans="1:6" s="2" customFormat="1" ht="23.25" customHeight="1" x14ac:dyDescent="0.2">
      <c r="A78" s="13"/>
      <c r="B78" s="31"/>
      <c r="C78" s="32"/>
      <c r="D78" s="191"/>
      <c r="E78" s="13"/>
      <c r="F78" s="13"/>
    </row>
  </sheetData>
  <sheetProtection password="CB1F" sheet="1" objects="1" scenarios="1" selectLockedCells="1"/>
  <dataConsolidate/>
  <mergeCells count="28">
    <mergeCell ref="A2:G2"/>
    <mergeCell ref="A4:G4"/>
    <mergeCell ref="B8:C8"/>
    <mergeCell ref="B7:C7"/>
    <mergeCell ref="B9:C9"/>
    <mergeCell ref="B6:C6"/>
    <mergeCell ref="E6:F6"/>
    <mergeCell ref="B14:D14"/>
    <mergeCell ref="E9:F9"/>
    <mergeCell ref="B15:C15"/>
    <mergeCell ref="E7:F7"/>
    <mergeCell ref="E8:F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s>
  <phoneticPr fontId="3" type="noConversion"/>
  <conditionalFormatting sqref="D30 B32:D34">
    <cfRule type="expression" dxfId="7" priority="24" stopIfTrue="1">
      <formula>$B$30="Califica para el monto solicitado"</formula>
    </cfRule>
    <cfRule type="expression" dxfId="6" priority="25" stopIfTrue="1">
      <formula>$B$30="Máximo monto"</formula>
    </cfRule>
  </conditionalFormatting>
  <conditionalFormatting sqref="A27:A28">
    <cfRule type="cellIs" dxfId="5" priority="23" stopIfTrue="1" operator="equal">
      <formula>"""Nivel de ingreso SATISFACTORIO para Crédito solicitado"""</formula>
    </cfRule>
  </conditionalFormatting>
  <conditionalFormatting sqref="B30:C30">
    <cfRule type="expression" dxfId="4" priority="30" stopIfTrue="1">
      <formula>OR($B$30="Inicial menor a la requerida",$B$30="Capacidad de Pago Insuficiente")</formula>
    </cfRule>
    <cfRule type="cellIs" dxfId="3" priority="31" stopIfTrue="1" operator="equal">
      <formula>"Califica para el monto solicitado"</formula>
    </cfRule>
    <cfRule type="cellIs" dxfId="2" priority="32" stopIfTrue="1" operator="equal">
      <formula>"Máximo monto"</formula>
    </cfRule>
  </conditionalFormatting>
  <conditionalFormatting sqref="D34">
    <cfRule type="expression" dxfId="1" priority="4" stopIfTrue="1">
      <formula>$B$34=""</formula>
    </cfRule>
  </conditionalFormatting>
  <conditionalFormatting sqref="D16">
    <cfRule type="expression" dxfId="0" priority="2" stopIfTrue="1">
      <formula>$C$16=""</formula>
    </cfRule>
  </conditionalFormatting>
  <dataValidations xWindow="652" yWindow="589" count="11">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26 H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list" allowBlank="1" showInputMessage="1" showErrorMessage="1" sqref="C12">
      <formula1>Modalidad</formula1>
    </dataValidation>
    <dataValidation type="list" allowBlank="1" showInputMessage="1" showErrorMessage="1" sqref="D18">
      <formula1>INDIRECT($C$12)</formula1>
    </dataValidation>
    <dataValidation type="whole" allowBlank="1" showInputMessage="1" showErrorMessage="1" sqref="D15">
      <formula1>MMin</formula1>
      <formula2>MMax</formula2>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U97"/>
  <sheetViews>
    <sheetView showGridLines="0" topLeftCell="A47" zoomScale="80" zoomScaleNormal="80" workbookViewId="0">
      <selection activeCell="C67" sqref="C67"/>
    </sheetView>
  </sheetViews>
  <sheetFormatPr baseColWidth="10" defaultRowHeight="12.75" x14ac:dyDescent="0.2"/>
  <cols>
    <col min="1" max="1" width="2.5703125" style="56" bestFit="1" customWidth="1"/>
    <col min="2" max="2" width="47" style="56" bestFit="1" customWidth="1"/>
    <col min="3" max="3" width="17.140625" style="56" customWidth="1"/>
    <col min="4" max="4" width="26.5703125" style="56" bestFit="1" customWidth="1"/>
    <col min="5" max="5" width="27.28515625" style="56" bestFit="1" customWidth="1"/>
    <col min="6" max="6" width="32.42578125" style="56" customWidth="1"/>
    <col min="7" max="8" width="21.85546875" style="56" customWidth="1"/>
    <col min="9" max="9" width="36.140625" style="56" customWidth="1"/>
    <col min="10" max="10" width="34.42578125" style="56" customWidth="1"/>
    <col min="11" max="13" width="11.42578125" style="56"/>
    <col min="14" max="14" width="39.85546875" style="56" bestFit="1" customWidth="1"/>
    <col min="15" max="15" width="21.7109375" style="56" bestFit="1" customWidth="1"/>
    <col min="16" max="16" width="12" style="56" bestFit="1" customWidth="1"/>
    <col min="17" max="16384" width="11.42578125" style="56"/>
  </cols>
  <sheetData>
    <row r="1" spans="2:16" ht="51" thickTop="1" thickBot="1" x14ac:dyDescent="0.3">
      <c r="B1" s="55" t="s">
        <v>19</v>
      </c>
      <c r="D1" s="57" t="s">
        <v>61</v>
      </c>
      <c r="G1" s="76" t="s">
        <v>26</v>
      </c>
      <c r="J1" s="55" t="s">
        <v>62</v>
      </c>
      <c r="K1" s="56" t="s">
        <v>81</v>
      </c>
      <c r="L1" s="55" t="s">
        <v>29</v>
      </c>
      <c r="N1" s="55" t="s">
        <v>63</v>
      </c>
      <c r="O1" s="55" t="s">
        <v>64</v>
      </c>
      <c r="P1" s="55" t="s">
        <v>65</v>
      </c>
    </row>
    <row r="2" spans="2:16" ht="14.25" thickTop="1" thickBot="1" x14ac:dyDescent="0.25">
      <c r="B2" s="113" t="str">
        <f>+Tabla!C12</f>
        <v>Línea_Personal_Bancaribe</v>
      </c>
      <c r="G2" s="58" t="s">
        <v>15</v>
      </c>
      <c r="J2" s="58" t="s">
        <v>66</v>
      </c>
      <c r="K2" s="56" t="s">
        <v>81</v>
      </c>
      <c r="L2" s="178">
        <v>12</v>
      </c>
      <c r="N2" s="59" t="s">
        <v>67</v>
      </c>
      <c r="O2" s="60">
        <v>1</v>
      </c>
      <c r="P2" s="56" t="e">
        <f>+IF(#REF!="","",IF(AND(#REF!&gt;=0,#REF!&lt;N3),O2,""))</f>
        <v>#REF!</v>
      </c>
    </row>
    <row r="3" spans="2:16" ht="13.5" thickBot="1" x14ac:dyDescent="0.25">
      <c r="G3" s="61" t="s">
        <v>16</v>
      </c>
      <c r="J3" s="61" t="s">
        <v>68</v>
      </c>
      <c r="K3" s="56" t="s">
        <v>81</v>
      </c>
      <c r="L3" s="178">
        <v>18</v>
      </c>
      <c r="N3" s="59">
        <v>1</v>
      </c>
      <c r="O3" s="60">
        <v>0.8</v>
      </c>
      <c r="P3" s="62" t="e">
        <f>+IF(#REF!="","",IF(AND(#REF!&gt;=N3,#REF!&lt;N4),O3,""))</f>
        <v>#REF!</v>
      </c>
    </row>
    <row r="4" spans="2:16" x14ac:dyDescent="0.2">
      <c r="L4" s="178">
        <v>24</v>
      </c>
      <c r="N4" s="59">
        <v>1.1000000000000001</v>
      </c>
      <c r="O4" s="60">
        <v>0.7742</v>
      </c>
      <c r="P4" s="62" t="e">
        <f>+IF(#REF!="","",IF(AND(#REF!&gt;=N4,#REF!&lt;N24),O4,""))</f>
        <v>#REF!</v>
      </c>
    </row>
    <row r="5" spans="2:16" ht="13.5" thickBot="1" x14ac:dyDescent="0.25">
      <c r="B5" s="55" t="s">
        <v>69</v>
      </c>
      <c r="C5" s="55" t="s">
        <v>70</v>
      </c>
      <c r="D5" s="55" t="s">
        <v>71</v>
      </c>
      <c r="E5" s="66"/>
      <c r="H5" s="148">
        <v>6746.98</v>
      </c>
      <c r="L5" s="179">
        <v>36</v>
      </c>
      <c r="N5" s="59">
        <v>1.7</v>
      </c>
      <c r="O5" s="60">
        <v>0.61939999999999995</v>
      </c>
      <c r="P5" s="62" t="e">
        <f>+IF(#REF!="","",IF(AND(#REF!&gt;=N5,#REF!&lt;N6),O5,""))</f>
        <v>#REF!</v>
      </c>
    </row>
    <row r="6" spans="2:16" x14ac:dyDescent="0.2">
      <c r="B6" s="67" t="s">
        <v>6</v>
      </c>
      <c r="C6" s="68">
        <f ca="1">+TODAY()</f>
        <v>42853</v>
      </c>
      <c r="D6" s="69">
        <v>40638.15</v>
      </c>
      <c r="E6" s="70"/>
      <c r="G6" s="147">
        <v>42186</v>
      </c>
      <c r="H6" s="149">
        <v>7421.68</v>
      </c>
      <c r="N6" s="59">
        <v>1.8</v>
      </c>
      <c r="O6" s="60">
        <v>0.59350000000000003</v>
      </c>
      <c r="P6" s="62" t="e">
        <f>+IF(#REF!="","",IF(AND(#REF!&gt;=N6,#REF!&lt;N7),O6,""))</f>
        <v>#REF!</v>
      </c>
    </row>
    <row r="7" spans="2:16" ht="13.5" thickBot="1" x14ac:dyDescent="0.25">
      <c r="B7" s="71" t="s">
        <v>10</v>
      </c>
      <c r="C7" s="72">
        <f ca="1">+C6</f>
        <v>42853</v>
      </c>
      <c r="D7" s="73">
        <v>300</v>
      </c>
      <c r="E7" s="70"/>
      <c r="N7" s="59">
        <v>1.9</v>
      </c>
      <c r="O7" s="60">
        <v>0.56769999999999998</v>
      </c>
      <c r="P7" s="62" t="e">
        <f>+IF(#REF!="","",IF(AND(#REF!&gt;=N7,#REF!&lt;#REF!),O7,""))</f>
        <v>#REF!</v>
      </c>
    </row>
    <row r="8" spans="2:16" x14ac:dyDescent="0.2">
      <c r="B8" s="130" t="s">
        <v>24</v>
      </c>
      <c r="C8" s="131">
        <f ca="1">+C6</f>
        <v>42853</v>
      </c>
      <c r="D8" s="132">
        <f>+SM</f>
        <v>40638.15</v>
      </c>
      <c r="E8" s="70"/>
      <c r="N8" s="59"/>
      <c r="O8" s="60"/>
      <c r="P8" s="62"/>
    </row>
    <row r="9" spans="2:16" ht="26.25" thickBot="1" x14ac:dyDescent="0.25">
      <c r="B9" s="136" t="s">
        <v>25</v>
      </c>
      <c r="C9" s="137">
        <f ca="1">+C6</f>
        <v>42853</v>
      </c>
      <c r="D9" s="138">
        <v>7000</v>
      </c>
      <c r="E9" s="139" t="str">
        <f>+CONCATENATE("El ingreso mínimo para optar a este producto es &gt;= Bs.",MID(D9,1,1),".",MID(D9,2,3))</f>
        <v>El ingreso mínimo para optar a este producto es &gt;= Bs.7.000</v>
      </c>
      <c r="N9" s="59"/>
      <c r="O9" s="60"/>
      <c r="P9" s="62"/>
    </row>
    <row r="10" spans="2:16" x14ac:dyDescent="0.2">
      <c r="B10" s="74"/>
      <c r="C10" s="75"/>
      <c r="D10" s="70"/>
      <c r="N10" s="59"/>
      <c r="O10" s="60"/>
      <c r="P10" s="62"/>
    </row>
    <row r="11" spans="2:16" x14ac:dyDescent="0.2">
      <c r="B11" s="74"/>
      <c r="C11" s="75"/>
      <c r="D11" s="70"/>
      <c r="N11" s="59"/>
      <c r="O11" s="60"/>
      <c r="P11" s="62"/>
    </row>
    <row r="12" spans="2:16" x14ac:dyDescent="0.2">
      <c r="B12" s="114">
        <v>1</v>
      </c>
      <c r="C12" s="114">
        <v>2</v>
      </c>
      <c r="D12" s="114">
        <v>3</v>
      </c>
      <c r="E12" s="115">
        <v>4</v>
      </c>
      <c r="F12" s="115">
        <v>5</v>
      </c>
      <c r="G12" s="115">
        <v>6</v>
      </c>
      <c r="H12" s="115">
        <v>7</v>
      </c>
      <c r="I12" s="115">
        <v>8</v>
      </c>
      <c r="J12" s="115">
        <v>9</v>
      </c>
      <c r="N12" s="59">
        <v>2.5</v>
      </c>
      <c r="O12" s="60">
        <v>0.41289999999999999</v>
      </c>
      <c r="P12" s="62" t="e">
        <f>+IF(#REF!="","",IF(AND(#REF!&gt;=N12,#REF!&lt;#REF!),O12,""))</f>
        <v>#REF!</v>
      </c>
    </row>
    <row r="13" spans="2:16" x14ac:dyDescent="0.2">
      <c r="B13" s="55" t="s">
        <v>19</v>
      </c>
      <c r="C13" s="55" t="s">
        <v>28</v>
      </c>
      <c r="D13" s="55" t="s">
        <v>29</v>
      </c>
      <c r="E13" s="55" t="s">
        <v>34</v>
      </c>
      <c r="F13" s="55" t="s">
        <v>35</v>
      </c>
      <c r="G13" s="55" t="s">
        <v>84</v>
      </c>
      <c r="H13" s="55" t="s">
        <v>85</v>
      </c>
      <c r="I13" s="55" t="s">
        <v>83</v>
      </c>
      <c r="J13" s="55" t="s">
        <v>101</v>
      </c>
      <c r="N13" s="59"/>
      <c r="O13" s="60"/>
      <c r="P13" s="62"/>
    </row>
    <row r="14" spans="2:16" ht="25.5" x14ac:dyDescent="0.2">
      <c r="B14" s="103" t="s">
        <v>103</v>
      </c>
      <c r="C14" s="104">
        <v>0.24</v>
      </c>
      <c r="D14" s="105"/>
      <c r="E14" s="106">
        <f>+$D$8</f>
        <v>40638.15</v>
      </c>
      <c r="F14" s="106">
        <v>99999999999.990005</v>
      </c>
      <c r="G14" s="106">
        <v>100000</v>
      </c>
      <c r="H14" s="106">
        <v>4650000</v>
      </c>
      <c r="I14" s="107" t="str">
        <f>+CONCATENATE("Monto del crédito solicitado
(Entre Bs.",MID(G14,1,3),".",MID(G14,3,3)," y Bs.",MID(H14,1,1),".",MID(H14,2,3),".",MID(H14,5,3),")")</f>
        <v>Monto del crédito solicitado
(Entre Bs.100.000 y Bs.4.650.000)</v>
      </c>
      <c r="J14" s="107" t="str">
        <f>+CONCATENATE("Ingreso Mínimo Requerido Bs.",MID(E14,1,2),".",MID(E14,3,3),MID(E14,6,3))</f>
        <v>Ingreso Mínimo Requerido Bs.40.638,15</v>
      </c>
      <c r="N14" s="59"/>
      <c r="O14" s="60"/>
      <c r="P14" s="62"/>
    </row>
    <row r="15" spans="2:16" ht="25.5" x14ac:dyDescent="0.2">
      <c r="B15" s="103" t="s">
        <v>104</v>
      </c>
      <c r="C15" s="104">
        <v>0.24</v>
      </c>
      <c r="D15" s="105"/>
      <c r="E15" s="106">
        <f t="shared" ref="E15:E20" si="0">+$D$8</f>
        <v>40638.15</v>
      </c>
      <c r="F15" s="106">
        <v>99999999999.990005</v>
      </c>
      <c r="G15" s="106">
        <v>100000</v>
      </c>
      <c r="H15" s="106">
        <v>4650000</v>
      </c>
      <c r="I15" s="107" t="str">
        <f>+CONCATENATE("Monto del crédito solicitado
(Entre Bs.",MID(G15,1,3),".",MID(G15,3,3)," y Bs.",MID(H15,1,1),".",MID(H15,2,3),".",MID(H15,5,3),")")</f>
        <v>Monto del crédito solicitado
(Entre Bs.100.000 y Bs.4.650.000)</v>
      </c>
      <c r="J15" s="107" t="str">
        <f t="shared" ref="J15:J20" si="1">+CONCATENATE("Ingreso Mínimo Requerido Bs.",MID(E15,1,2),".",MID(E15,3,3),MID(E15,6,3))</f>
        <v>Ingreso Mínimo Requerido Bs.40.638,15</v>
      </c>
      <c r="N15" s="59"/>
      <c r="O15" s="60"/>
      <c r="P15" s="62"/>
    </row>
    <row r="16" spans="2:16" ht="25.5" x14ac:dyDescent="0.2">
      <c r="B16" s="103" t="s">
        <v>105</v>
      </c>
      <c r="C16" s="104">
        <v>0.24</v>
      </c>
      <c r="D16" s="105"/>
      <c r="E16" s="106">
        <f t="shared" si="0"/>
        <v>40638.15</v>
      </c>
      <c r="F16" s="106">
        <v>99999999999.990005</v>
      </c>
      <c r="G16" s="106">
        <v>100000</v>
      </c>
      <c r="H16" s="106">
        <v>4650000</v>
      </c>
      <c r="I16" s="107" t="str">
        <f>+CONCATENATE("Monto del crédito solicitado
(Entre Bs.",MID(G16,1,3),".",MID(G16,3,3)," y Bs.",MID(H16,1,1),".",MID(H16,2,3),".",MID(H16,5,3),")")</f>
        <v>Monto del crédito solicitado
(Entre Bs.100.000 y Bs.4.650.000)</v>
      </c>
      <c r="J16" s="107" t="str">
        <f t="shared" si="1"/>
        <v>Ingreso Mínimo Requerido Bs.40.638,15</v>
      </c>
      <c r="N16" s="59"/>
      <c r="O16" s="60"/>
      <c r="P16" s="62"/>
    </row>
    <row r="17" spans="2:21" ht="25.5" x14ac:dyDescent="0.2">
      <c r="B17" s="171" t="s">
        <v>106</v>
      </c>
      <c r="C17" s="172">
        <v>0.24</v>
      </c>
      <c r="D17" s="173"/>
      <c r="E17" s="106">
        <f t="shared" si="0"/>
        <v>40638.15</v>
      </c>
      <c r="F17" s="174">
        <v>99999999999.990005</v>
      </c>
      <c r="G17" s="174">
        <v>100000</v>
      </c>
      <c r="H17" s="174">
        <v>25000000</v>
      </c>
      <c r="I17" s="175" t="str">
        <f>+CONCATENATE("Monto del crédito solicitado
(Entre Bs.",MID(G17,1,3),".",MID(G17,3,3)," y Bs.",MID(H17,1,2),".",MID(H17,3,3),".",MID(H17,6,3),")")</f>
        <v>Monto del crédito solicitado
(Entre Bs.100.000 y Bs.25.000.000)</v>
      </c>
      <c r="J17" s="175" t="str">
        <f t="shared" si="1"/>
        <v>Ingreso Mínimo Requerido Bs.40.638,15</v>
      </c>
      <c r="N17" s="59"/>
      <c r="O17" s="60"/>
      <c r="P17" s="62"/>
    </row>
    <row r="18" spans="2:21" ht="25.5" x14ac:dyDescent="0.2">
      <c r="B18" s="103" t="s">
        <v>107</v>
      </c>
      <c r="C18" s="104">
        <v>0.24</v>
      </c>
      <c r="D18" s="105"/>
      <c r="E18" s="106">
        <f t="shared" si="0"/>
        <v>40638.15</v>
      </c>
      <c r="F18" s="106">
        <v>99999999999.990005</v>
      </c>
      <c r="G18" s="106">
        <v>100000</v>
      </c>
      <c r="H18" s="106">
        <v>4650000</v>
      </c>
      <c r="I18" s="107" t="str">
        <f>+CONCATENATE("Monto del crédito solicitado
(Entre Bs.",MID(G18,1,3),".",MID(G18,3,3)," y Bs.",MID(H18,1,1),".",MID(H18,2,3),".",MID(H18,5,3),")")</f>
        <v>Monto del crédito solicitado
(Entre Bs.100.000 y Bs.4.650.000)</v>
      </c>
      <c r="J18" s="107" t="str">
        <f t="shared" si="1"/>
        <v>Ingreso Mínimo Requerido Bs.40.638,15</v>
      </c>
      <c r="N18" s="59"/>
      <c r="O18" s="60"/>
      <c r="P18" s="62"/>
    </row>
    <row r="19" spans="2:21" ht="25.5" x14ac:dyDescent="0.2">
      <c r="B19" s="103" t="s">
        <v>108</v>
      </c>
      <c r="C19" s="176">
        <v>0.24</v>
      </c>
      <c r="D19" s="105"/>
      <c r="E19" s="106">
        <f t="shared" si="0"/>
        <v>40638.15</v>
      </c>
      <c r="F19" s="106">
        <v>99999999999.990005</v>
      </c>
      <c r="G19" s="106">
        <v>100000</v>
      </c>
      <c r="H19" s="106">
        <v>15000000</v>
      </c>
      <c r="I19" s="107" t="str">
        <f>+CONCATENATE("Monto del crédito solicitado
(Entre Bs.",MID(G19,1,3),".",MID(G19,3,3)," y Bs.",MID(H19,1,2),".",MID(H19,3,3),".",MID(H19,6,3),")")</f>
        <v>Monto del crédito solicitado
(Entre Bs.100.000 y Bs.15.000.000)</v>
      </c>
      <c r="J19" s="107" t="str">
        <f t="shared" si="1"/>
        <v>Ingreso Mínimo Requerido Bs.40.638,15</v>
      </c>
      <c r="N19" s="59"/>
      <c r="O19" s="60"/>
      <c r="P19" s="62"/>
    </row>
    <row r="20" spans="2:21" ht="24.75" customHeight="1" x14ac:dyDescent="0.2">
      <c r="B20" s="103" t="s">
        <v>109</v>
      </c>
      <c r="C20" s="104">
        <v>0.12</v>
      </c>
      <c r="D20" s="105"/>
      <c r="E20" s="106">
        <f t="shared" si="0"/>
        <v>40638.15</v>
      </c>
      <c r="F20" s="106">
        <v>99999999999.990005</v>
      </c>
      <c r="G20" s="106">
        <v>25000</v>
      </c>
      <c r="H20" s="106">
        <v>300000</v>
      </c>
      <c r="I20" s="107" t="str">
        <f>+CONCATENATE("Monto del crédito solicitado
(Entre Bs.",MID(G20,1,2),".",MID(G20,3,3)," y Bs.",MID(H20,1,3),".",MID(H20,4,3),")")</f>
        <v>Monto del crédito solicitado
(Entre Bs.25.000 y Bs.300.000)</v>
      </c>
      <c r="J20" s="107" t="str">
        <f t="shared" si="1"/>
        <v>Ingreso Mínimo Requerido Bs.40.638,15</v>
      </c>
      <c r="N20" s="59"/>
      <c r="O20" s="60"/>
      <c r="P20" s="62"/>
    </row>
    <row r="21" spans="2:21" ht="13.5" thickBot="1" x14ac:dyDescent="0.25">
      <c r="B21" s="108"/>
      <c r="C21" s="109"/>
      <c r="D21" s="110"/>
      <c r="E21" s="111"/>
      <c r="F21" s="111"/>
      <c r="G21" s="111"/>
      <c r="H21" s="111"/>
      <c r="I21" s="112"/>
      <c r="J21" s="112"/>
      <c r="N21" s="59"/>
      <c r="O21" s="60"/>
      <c r="P21" s="62"/>
    </row>
    <row r="22" spans="2:21" ht="13.5" thickTop="1" x14ac:dyDescent="0.2">
      <c r="B22" s="74"/>
      <c r="C22" s="75"/>
      <c r="D22" s="70"/>
      <c r="N22" s="59"/>
      <c r="O22" s="60"/>
      <c r="P22" s="62"/>
    </row>
    <row r="23" spans="2:21" x14ac:dyDescent="0.2">
      <c r="B23" s="74"/>
      <c r="C23" s="75"/>
      <c r="D23" s="70"/>
      <c r="N23" s="59"/>
      <c r="O23" s="60"/>
      <c r="P23" s="62"/>
    </row>
    <row r="24" spans="2:21" x14ac:dyDescent="0.2">
      <c r="B24" s="55" t="s">
        <v>19</v>
      </c>
      <c r="C24" s="55" t="s">
        <v>28</v>
      </c>
      <c r="D24" s="55" t="s">
        <v>29</v>
      </c>
      <c r="E24" s="55" t="s">
        <v>34</v>
      </c>
      <c r="F24" s="55" t="s">
        <v>35</v>
      </c>
      <c r="G24" s="55" t="s">
        <v>84</v>
      </c>
      <c r="H24" s="55" t="s">
        <v>85</v>
      </c>
      <c r="I24" s="55" t="s">
        <v>83</v>
      </c>
      <c r="J24" s="55" t="s">
        <v>101</v>
      </c>
      <c r="N24" s="59">
        <v>1.2</v>
      </c>
      <c r="O24" s="60">
        <v>0.74839999999999995</v>
      </c>
      <c r="P24" s="62" t="e">
        <f>+IF(#REF!="","",IF(AND(#REF!&gt;=N24,#REF!&lt;N25),O24,""))</f>
        <v>#REF!</v>
      </c>
    </row>
    <row r="25" spans="2:21" ht="30.75" customHeight="1" x14ac:dyDescent="0.2">
      <c r="B25" s="189" t="str">
        <f>+IF(Tabla!C12="","",Tabla!C12)</f>
        <v>Línea_Personal_Bancaribe</v>
      </c>
      <c r="C25" s="118">
        <f>+IF(Tabla!D17="",C26,MIN(C26:C27))</f>
        <v>0.24</v>
      </c>
      <c r="D25" s="116">
        <f>+IF(Tabla!D19="",D26,MIN(D26:D27))</f>
        <v>0</v>
      </c>
      <c r="E25" s="119">
        <f>+VLOOKUP($B25,$B$13:$I$21,E12,FALSE)</f>
        <v>40638.15</v>
      </c>
      <c r="F25" s="120">
        <f>+VLOOKUP($B25,$B$13:$I$21,F12,FALSE)</f>
        <v>99999999999.990005</v>
      </c>
      <c r="G25" s="121">
        <f>+VLOOKUP($B25,$B$13:$I$21,G12,FALSE)</f>
        <v>100000</v>
      </c>
      <c r="H25" s="121">
        <f>+VLOOKUP($B25,$B$13:$I$21,H12,FALSE)</f>
        <v>4650000</v>
      </c>
      <c r="I25" s="117" t="str">
        <f>+VLOOKUP($B25,$B$13:$I$21,I12,FALSE)</f>
        <v>Monto del crédito solicitado
(Entre Bs.100.000 y Bs.4.650.000)</v>
      </c>
      <c r="J25" s="117" t="str">
        <f>+VLOOKUP($B25,$B$13:$J$21,J12,FALSE)</f>
        <v>Ingreso Mínimo Requerido Bs.40.638,15</v>
      </c>
      <c r="N25" s="59">
        <v>1.3</v>
      </c>
      <c r="O25" s="60">
        <v>0.72260000000000002</v>
      </c>
      <c r="P25" s="62" t="e">
        <f>+IF(#REF!="","",IF(AND(#REF!&gt;=N25,#REF!&lt;N26),O25,""))</f>
        <v>#REF!</v>
      </c>
    </row>
    <row r="26" spans="2:21" ht="13.5" thickBot="1" x14ac:dyDescent="0.25">
      <c r="B26" s="63"/>
      <c r="C26" s="122">
        <f>+VLOOKUP($B25,$B$13:$I$21,C12,FALSE)</f>
        <v>0.24</v>
      </c>
      <c r="D26" s="64">
        <f>IF(Tabla!C12="","",Tabla!D18)</f>
        <v>0</v>
      </c>
      <c r="E26" s="61"/>
      <c r="F26" s="64"/>
      <c r="G26" s="64"/>
      <c r="H26" s="64"/>
      <c r="I26" s="64"/>
      <c r="J26" s="64"/>
      <c r="N26" s="59">
        <v>1.4</v>
      </c>
      <c r="O26" s="60">
        <v>0.69679999999999997</v>
      </c>
      <c r="P26" s="62" t="e">
        <f>+IF(#REF!="","",IF(AND(#REF!&gt;=N26,#REF!&lt;N27),O26,""))</f>
        <v>#REF!</v>
      </c>
    </row>
    <row r="27" spans="2:21" ht="13.5" thickBot="1" x14ac:dyDescent="0.25">
      <c r="B27" s="63" t="s">
        <v>86</v>
      </c>
      <c r="C27" s="122">
        <f>+Tabla!D17</f>
        <v>0</v>
      </c>
      <c r="D27" s="64">
        <f>+Tabla!D19</f>
        <v>0</v>
      </c>
      <c r="E27" s="65"/>
      <c r="N27" s="59">
        <v>1.5</v>
      </c>
      <c r="O27" s="60">
        <v>0.67100000000000004</v>
      </c>
      <c r="P27" s="62" t="e">
        <f>+IF(#REF!="","",IF(AND(#REF!&gt;=N27,#REF!&lt;N28),O27,""))</f>
        <v>#REF!</v>
      </c>
    </row>
    <row r="28" spans="2:21" x14ac:dyDescent="0.2">
      <c r="N28" s="59">
        <v>1.6</v>
      </c>
      <c r="O28" s="60">
        <v>0.6452</v>
      </c>
      <c r="P28" s="62" t="e">
        <f>+IF(#REF!="","",IF(AND(#REF!&gt;=N28,#REF!&lt;N5),O28,""))</f>
        <v>#REF!</v>
      </c>
    </row>
    <row r="29" spans="2:21" x14ac:dyDescent="0.2">
      <c r="B29" s="78"/>
      <c r="C29" s="78"/>
      <c r="D29" s="78"/>
      <c r="N29" s="79">
        <v>3.1</v>
      </c>
      <c r="O29" s="80">
        <v>0.2581</v>
      </c>
      <c r="P29" s="62" t="e">
        <f>+IF(#REF!="","",IF(AND(#REF!&gt;=N29,#REF!&lt;N30),O29,""))</f>
        <v>#REF!</v>
      </c>
    </row>
    <row r="30" spans="2:21" x14ac:dyDescent="0.2">
      <c r="B30" s="55" t="s">
        <v>96</v>
      </c>
      <c r="C30" s="81"/>
      <c r="D30" s="81"/>
      <c r="E30" s="82"/>
      <c r="F30" s="82"/>
      <c r="G30" s="82"/>
      <c r="H30" s="82"/>
      <c r="I30" s="82"/>
      <c r="J30" s="81"/>
      <c r="K30" s="81"/>
      <c r="M30" s="83"/>
      <c r="N30" s="79">
        <v>3.2</v>
      </c>
      <c r="O30" s="84">
        <v>0.23230000000000001</v>
      </c>
      <c r="P30" s="62" t="e">
        <f>+IF(#REF!="","",IF(AND(#REF!&gt;=N30,#REF!&lt;N31),O30,""))</f>
        <v>#REF!</v>
      </c>
      <c r="S30" s="78"/>
      <c r="T30" s="85"/>
      <c r="U30" s="86"/>
    </row>
    <row r="31" spans="2:21" x14ac:dyDescent="0.2">
      <c r="B31" s="55" t="s">
        <v>87</v>
      </c>
      <c r="C31" s="55" t="s">
        <v>88</v>
      </c>
      <c r="D31" s="87" t="s">
        <v>3</v>
      </c>
      <c r="E31" s="87" t="s">
        <v>4</v>
      </c>
      <c r="F31" s="88" t="s">
        <v>2</v>
      </c>
      <c r="G31" s="87" t="s">
        <v>4</v>
      </c>
      <c r="H31" s="123"/>
      <c r="I31" s="123"/>
      <c r="L31" s="83"/>
      <c r="M31" s="78"/>
      <c r="N31" s="59">
        <v>3.3</v>
      </c>
      <c r="O31" s="60">
        <v>0.20649999999999999</v>
      </c>
      <c r="P31" s="62" t="e">
        <f>+IF(#REF!="","",IF(AND(#REF!&gt;=N31,#REF!&lt;N32),O31,""))</f>
        <v>#REF!</v>
      </c>
      <c r="Q31" s="78"/>
      <c r="S31" s="78"/>
      <c r="T31" s="89"/>
      <c r="U31" s="90"/>
    </row>
    <row r="32" spans="2:21" x14ac:dyDescent="0.2">
      <c r="B32" s="152">
        <v>1500</v>
      </c>
      <c r="C32" s="152">
        <v>3000</v>
      </c>
      <c r="D32" s="153">
        <v>10</v>
      </c>
      <c r="E32" s="153">
        <v>1</v>
      </c>
      <c r="F32" s="154" t="str">
        <f>IF(AND((($C$53*80%)+(50%*$C$54))&gt;=B32,(($C$53*80%)+(50%*$C$54))&lt;C32),D32,"")</f>
        <v/>
      </c>
      <c r="G32" s="155" t="str">
        <f>IF(AND((($C$53*80%)+(50%*$C$54))&gt;=B32,(($C$53*80%)+(50%*$C$54))&lt;C32),E32,"")</f>
        <v/>
      </c>
      <c r="H32" s="124"/>
      <c r="I32" s="124"/>
      <c r="J32" s="56">
        <v>1</v>
      </c>
      <c r="K32" s="152">
        <v>1500</v>
      </c>
      <c r="L32" s="152">
        <v>3000</v>
      </c>
      <c r="M32" s="86"/>
      <c r="N32" s="59">
        <v>3.4</v>
      </c>
      <c r="O32" s="60">
        <v>0.18060000000000001</v>
      </c>
      <c r="P32" s="62" t="e">
        <f>+IF(#REF!="","",IF(AND(#REF!&gt;=N32,#REF!&lt;N33),O32,""))</f>
        <v>#REF!</v>
      </c>
      <c r="Q32" s="91"/>
      <c r="S32" s="78"/>
      <c r="T32" s="92"/>
      <c r="U32" s="92"/>
    </row>
    <row r="33" spans="2:21" x14ac:dyDescent="0.2">
      <c r="B33" s="156">
        <f>+C32</f>
        <v>3000</v>
      </c>
      <c r="C33" s="156">
        <v>4500</v>
      </c>
      <c r="D33" s="157">
        <v>10</v>
      </c>
      <c r="E33" s="157">
        <v>1</v>
      </c>
      <c r="F33" s="158" t="str">
        <f>IF(AND((($C$53*80%)+(50%*$C$54))&gt;=B33,(($C$53*80%)+(50%*$C$54))&lt;C33),D33,"")</f>
        <v/>
      </c>
      <c r="G33" s="159" t="str">
        <f>IF(AND((($C$53*80%)+(50%*$C$54))&gt;=B33,(($C$53*80%)+(50%*$C$54))&lt;C33),E33,"")</f>
        <v/>
      </c>
      <c r="H33" s="124"/>
      <c r="I33" s="124"/>
      <c r="J33" s="56">
        <v>1</v>
      </c>
      <c r="K33" s="156">
        <v>3001</v>
      </c>
      <c r="L33" s="156">
        <v>4500</v>
      </c>
      <c r="M33" s="86"/>
      <c r="N33" s="59">
        <v>3.5</v>
      </c>
      <c r="O33" s="60">
        <v>0.15479999999999999</v>
      </c>
      <c r="P33" s="62" t="e">
        <f>+IF(#REF!="","",IF(AND(#REF!&gt;=N33,#REF!&lt;N34),O33,""))</f>
        <v>#REF!</v>
      </c>
      <c r="Q33" s="93"/>
      <c r="S33" s="78"/>
      <c r="T33" s="78"/>
      <c r="U33" s="78"/>
    </row>
    <row r="34" spans="2:21" x14ac:dyDescent="0.2">
      <c r="B34" s="156">
        <f t="shared" ref="B34:B47" si="2">+C33</f>
        <v>4500</v>
      </c>
      <c r="C34" s="156">
        <v>5500</v>
      </c>
      <c r="D34" s="157">
        <v>10</v>
      </c>
      <c r="E34" s="157">
        <v>1.25</v>
      </c>
      <c r="F34" s="158" t="str">
        <f t="shared" ref="F34:F47" si="3">IF(AND((($C$53*80%)+(50%*$C$54))&gt;=B34,(($C$53*80%)+(50%*$C$54))&lt;C34),D34,"")</f>
        <v/>
      </c>
      <c r="G34" s="159" t="str">
        <f t="shared" ref="G34:G47" si="4">IF(AND((($C$53*80%)+(50%*$C$54))&gt;=B34,(($C$53*80%)+(50%*$C$54))&lt;C34),E34,"")</f>
        <v/>
      </c>
      <c r="H34" s="124"/>
      <c r="I34" s="124"/>
      <c r="J34" s="56">
        <v>1.25</v>
      </c>
      <c r="K34" s="156">
        <v>4501</v>
      </c>
      <c r="L34" s="156">
        <v>5500</v>
      </c>
      <c r="M34" s="86"/>
      <c r="N34" s="59">
        <v>3.6</v>
      </c>
      <c r="O34" s="60">
        <v>0.129</v>
      </c>
      <c r="P34" s="62" t="e">
        <f>+IF(#REF!="","",IF(AND(#REF!&gt;=N34,#REF!&lt;N35),O34,""))</f>
        <v>#REF!</v>
      </c>
      <c r="Q34" s="93"/>
      <c r="S34" s="94"/>
      <c r="T34" s="91"/>
      <c r="U34" s="91"/>
    </row>
    <row r="35" spans="2:21" x14ac:dyDescent="0.2">
      <c r="B35" s="156">
        <f t="shared" si="2"/>
        <v>5500</v>
      </c>
      <c r="C35" s="156">
        <v>7500</v>
      </c>
      <c r="D35" s="157">
        <v>10</v>
      </c>
      <c r="E35" s="157">
        <v>1.5</v>
      </c>
      <c r="F35" s="158" t="str">
        <f t="shared" si="3"/>
        <v/>
      </c>
      <c r="G35" s="159" t="str">
        <f t="shared" si="4"/>
        <v/>
      </c>
      <c r="H35" s="124"/>
      <c r="I35" s="124"/>
      <c r="J35" s="56">
        <v>1.25</v>
      </c>
      <c r="K35" s="156">
        <v>5501</v>
      </c>
      <c r="L35" s="156">
        <v>7500</v>
      </c>
      <c r="M35" s="86"/>
      <c r="N35" s="59">
        <v>3.7</v>
      </c>
      <c r="O35" s="60">
        <v>0.1032</v>
      </c>
      <c r="P35" s="62" t="e">
        <f>+IF(#REF!="","",IF(AND(#REF!&gt;=N35,#REF!&lt;N36),O35,""))</f>
        <v>#REF!</v>
      </c>
      <c r="Q35" s="93"/>
      <c r="S35" s="86"/>
      <c r="T35" s="91"/>
      <c r="U35" s="91"/>
    </row>
    <row r="36" spans="2:21" x14ac:dyDescent="0.2">
      <c r="B36" s="156">
        <f t="shared" si="2"/>
        <v>7500</v>
      </c>
      <c r="C36" s="156">
        <v>10500</v>
      </c>
      <c r="D36" s="157">
        <v>10</v>
      </c>
      <c r="E36" s="157">
        <v>1.75</v>
      </c>
      <c r="F36" s="158" t="str">
        <f t="shared" si="3"/>
        <v/>
      </c>
      <c r="G36" s="159" t="str">
        <f t="shared" si="4"/>
        <v/>
      </c>
      <c r="H36" s="124"/>
      <c r="I36" s="124"/>
      <c r="J36" s="56">
        <v>1.5</v>
      </c>
      <c r="K36" s="156">
        <v>7501</v>
      </c>
      <c r="L36" s="156">
        <v>10500</v>
      </c>
      <c r="M36" s="86"/>
      <c r="N36" s="79">
        <v>3.8</v>
      </c>
      <c r="O36" s="80">
        <v>7.7399999999999997E-2</v>
      </c>
      <c r="P36" s="62" t="e">
        <f>+IF(#REF!="","",IF(AND(#REF!&gt;=N36,#REF!&lt;N37),O36,""))</f>
        <v>#REF!</v>
      </c>
      <c r="Q36" s="93"/>
      <c r="S36" s="86"/>
      <c r="T36" s="91"/>
      <c r="U36" s="91"/>
    </row>
    <row r="37" spans="2:21" x14ac:dyDescent="0.2">
      <c r="B37" s="156">
        <f t="shared" si="2"/>
        <v>10500</v>
      </c>
      <c r="C37" s="156">
        <v>12500</v>
      </c>
      <c r="D37" s="157">
        <v>10</v>
      </c>
      <c r="E37" s="157">
        <v>2</v>
      </c>
      <c r="F37" s="158" t="str">
        <f t="shared" si="3"/>
        <v/>
      </c>
      <c r="G37" s="159" t="str">
        <f t="shared" si="4"/>
        <v/>
      </c>
      <c r="H37" s="124"/>
      <c r="I37" s="124"/>
      <c r="J37" s="56">
        <v>1.5</v>
      </c>
      <c r="K37" s="156">
        <v>10501</v>
      </c>
      <c r="L37" s="156">
        <v>12500</v>
      </c>
      <c r="M37" s="83"/>
      <c r="N37" s="79">
        <v>3.9</v>
      </c>
      <c r="O37" s="80">
        <v>5.16E-2</v>
      </c>
      <c r="P37" s="62" t="e">
        <f>+IF(#REF!="","",IF(AND(#REF!&gt;=N37,#REF!&lt;N38),O37,""))</f>
        <v>#REF!</v>
      </c>
      <c r="Q37" s="83"/>
      <c r="S37" s="86"/>
      <c r="T37" s="91"/>
      <c r="U37" s="91"/>
    </row>
    <row r="38" spans="2:21" x14ac:dyDescent="0.2">
      <c r="B38" s="156">
        <f t="shared" si="2"/>
        <v>12500</v>
      </c>
      <c r="C38" s="156">
        <v>15500</v>
      </c>
      <c r="D38" s="157">
        <v>10</v>
      </c>
      <c r="E38" s="157">
        <v>2.1</v>
      </c>
      <c r="F38" s="158" t="str">
        <f t="shared" si="3"/>
        <v/>
      </c>
      <c r="G38" s="159" t="str">
        <f t="shared" si="4"/>
        <v/>
      </c>
      <c r="H38" s="124"/>
      <c r="I38" s="124"/>
      <c r="J38" s="56">
        <v>1.75</v>
      </c>
      <c r="K38" s="156">
        <v>12501</v>
      </c>
      <c r="L38" s="156">
        <v>15500</v>
      </c>
      <c r="M38" s="83"/>
      <c r="N38" s="79">
        <v>4</v>
      </c>
      <c r="O38" s="80">
        <v>2.58E-2</v>
      </c>
      <c r="P38" s="62" t="e">
        <f>+IF(#REF!="","",IF(AND(#REF!&gt;=N38,#REF!&lt;N39),O38,""))</f>
        <v>#REF!</v>
      </c>
      <c r="Q38" s="83"/>
      <c r="S38" s="86"/>
      <c r="T38" s="91"/>
      <c r="U38" s="91"/>
    </row>
    <row r="39" spans="2:21" x14ac:dyDescent="0.2">
      <c r="B39" s="156">
        <f t="shared" si="2"/>
        <v>15500</v>
      </c>
      <c r="C39" s="156">
        <v>18500</v>
      </c>
      <c r="D39" s="157">
        <v>10</v>
      </c>
      <c r="E39" s="157">
        <v>2.25</v>
      </c>
      <c r="F39" s="158" t="str">
        <f t="shared" si="3"/>
        <v/>
      </c>
      <c r="G39" s="159" t="str">
        <f t="shared" si="4"/>
        <v/>
      </c>
      <c r="H39" s="124"/>
      <c r="I39" s="124"/>
      <c r="J39" s="56">
        <v>2.25</v>
      </c>
      <c r="K39" s="156">
        <v>15501</v>
      </c>
      <c r="L39" s="156">
        <v>18500</v>
      </c>
      <c r="M39" s="83"/>
      <c r="N39" s="79" t="s">
        <v>72</v>
      </c>
      <c r="O39" s="80">
        <v>0</v>
      </c>
      <c r="P39" s="62" t="e">
        <f>+IF(#REF!="","",IF(AND(#REF!&gt;=N39,#REF!&lt;N40),O39,""))</f>
        <v>#REF!</v>
      </c>
      <c r="Q39" s="83"/>
      <c r="S39" s="86"/>
      <c r="T39" s="91"/>
      <c r="U39" s="91"/>
    </row>
    <row r="40" spans="2:21" x14ac:dyDescent="0.2">
      <c r="B40" s="156">
        <f t="shared" si="2"/>
        <v>18500</v>
      </c>
      <c r="C40" s="156">
        <v>21500</v>
      </c>
      <c r="D40" s="157">
        <v>10</v>
      </c>
      <c r="E40" s="157">
        <v>2.5</v>
      </c>
      <c r="F40" s="158" t="str">
        <f t="shared" si="3"/>
        <v/>
      </c>
      <c r="G40" s="159" t="str">
        <f t="shared" si="4"/>
        <v/>
      </c>
      <c r="H40" s="124"/>
      <c r="I40" s="124"/>
      <c r="J40" s="56">
        <v>2.5</v>
      </c>
      <c r="K40" s="156">
        <v>18501</v>
      </c>
      <c r="L40" s="156">
        <v>21500</v>
      </c>
      <c r="M40" s="83"/>
      <c r="Q40" s="83"/>
      <c r="S40" s="86"/>
      <c r="T40" s="91"/>
      <c r="U40" s="91"/>
    </row>
    <row r="41" spans="2:21" x14ac:dyDescent="0.2">
      <c r="B41" s="156">
        <f t="shared" si="2"/>
        <v>21500</v>
      </c>
      <c r="C41" s="156">
        <v>25500</v>
      </c>
      <c r="D41" s="157">
        <v>10</v>
      </c>
      <c r="E41" s="157">
        <v>2.75</v>
      </c>
      <c r="F41" s="158" t="str">
        <f t="shared" si="3"/>
        <v/>
      </c>
      <c r="G41" s="159" t="str">
        <f t="shared" si="4"/>
        <v/>
      </c>
      <c r="H41" s="124"/>
      <c r="I41" s="124"/>
      <c r="J41" s="56">
        <v>2.75</v>
      </c>
      <c r="K41" s="156">
        <v>21501</v>
      </c>
      <c r="L41" s="156">
        <v>25500</v>
      </c>
      <c r="M41" s="83"/>
      <c r="Q41" s="83"/>
      <c r="S41" s="86"/>
      <c r="T41" s="91"/>
      <c r="U41" s="91"/>
    </row>
    <row r="42" spans="2:21" x14ac:dyDescent="0.2">
      <c r="B42" s="156">
        <f t="shared" si="2"/>
        <v>25500</v>
      </c>
      <c r="C42" s="156">
        <v>30500</v>
      </c>
      <c r="D42" s="157">
        <v>10</v>
      </c>
      <c r="E42" s="157">
        <v>3</v>
      </c>
      <c r="F42" s="158" t="str">
        <f t="shared" si="3"/>
        <v/>
      </c>
      <c r="G42" s="159" t="str">
        <f t="shared" si="4"/>
        <v/>
      </c>
      <c r="H42" s="124"/>
      <c r="I42" s="124"/>
      <c r="J42" s="56">
        <v>3</v>
      </c>
      <c r="K42" s="156">
        <v>25501</v>
      </c>
      <c r="L42" s="156">
        <v>30500</v>
      </c>
      <c r="M42" s="83"/>
      <c r="Q42" s="83"/>
      <c r="S42" s="86"/>
      <c r="T42" s="91"/>
      <c r="U42" s="91"/>
    </row>
    <row r="43" spans="2:21" x14ac:dyDescent="0.2">
      <c r="B43" s="156">
        <f t="shared" si="2"/>
        <v>30500</v>
      </c>
      <c r="C43" s="156">
        <v>40000</v>
      </c>
      <c r="D43" s="157">
        <v>10</v>
      </c>
      <c r="E43" s="157">
        <v>3.1</v>
      </c>
      <c r="F43" s="158" t="str">
        <f t="shared" si="3"/>
        <v/>
      </c>
      <c r="G43" s="159" t="str">
        <f t="shared" si="4"/>
        <v/>
      </c>
      <c r="H43" s="124"/>
      <c r="I43" s="124"/>
      <c r="J43" s="56">
        <v>3.1</v>
      </c>
      <c r="K43" s="156">
        <v>30501</v>
      </c>
      <c r="L43" s="156">
        <v>40000</v>
      </c>
      <c r="M43" s="83"/>
      <c r="N43" s="83"/>
      <c r="O43" s="83"/>
      <c r="P43" s="83"/>
      <c r="Q43" s="83"/>
      <c r="S43" s="86"/>
      <c r="T43" s="91"/>
      <c r="U43" s="91"/>
    </row>
    <row r="44" spans="2:21" x14ac:dyDescent="0.2">
      <c r="B44" s="156">
        <f t="shared" si="2"/>
        <v>40000</v>
      </c>
      <c r="C44" s="156">
        <v>50000</v>
      </c>
      <c r="D44" s="157">
        <v>10</v>
      </c>
      <c r="E44" s="157">
        <v>3.25</v>
      </c>
      <c r="F44" s="158" t="str">
        <f t="shared" si="3"/>
        <v/>
      </c>
      <c r="G44" s="159" t="str">
        <f t="shared" si="4"/>
        <v/>
      </c>
      <c r="H44" s="124"/>
      <c r="I44" s="124"/>
      <c r="J44" s="56">
        <v>3.25</v>
      </c>
      <c r="K44" s="156">
        <v>40001</v>
      </c>
      <c r="L44" s="156">
        <v>50000</v>
      </c>
      <c r="M44" s="83"/>
      <c r="N44" s="83"/>
      <c r="O44" s="83"/>
      <c r="P44" s="83"/>
      <c r="Q44" s="83"/>
      <c r="S44" s="86"/>
      <c r="T44" s="91"/>
      <c r="U44" s="91"/>
    </row>
    <row r="45" spans="2:21" x14ac:dyDescent="0.2">
      <c r="B45" s="156">
        <f t="shared" si="2"/>
        <v>50000</v>
      </c>
      <c r="C45" s="156">
        <v>60000</v>
      </c>
      <c r="D45" s="157">
        <v>10</v>
      </c>
      <c r="E45" s="157">
        <v>3.5</v>
      </c>
      <c r="F45" s="158" t="str">
        <f t="shared" si="3"/>
        <v/>
      </c>
      <c r="G45" s="159" t="str">
        <f t="shared" si="4"/>
        <v/>
      </c>
      <c r="H45" s="124"/>
      <c r="I45" s="124"/>
      <c r="J45" s="56">
        <v>3.5</v>
      </c>
      <c r="K45" s="156">
        <v>50001</v>
      </c>
      <c r="L45" s="156">
        <v>60000</v>
      </c>
      <c r="M45" s="83"/>
      <c r="N45" s="83"/>
      <c r="O45" s="83"/>
      <c r="P45" s="83"/>
      <c r="Q45" s="83"/>
      <c r="S45" s="86"/>
      <c r="T45" s="91"/>
      <c r="U45" s="91"/>
    </row>
    <row r="46" spans="2:21" x14ac:dyDescent="0.2">
      <c r="B46" s="156">
        <f t="shared" si="2"/>
        <v>60000</v>
      </c>
      <c r="C46" s="156">
        <v>80000</v>
      </c>
      <c r="D46" s="157">
        <v>10</v>
      </c>
      <c r="E46" s="157">
        <v>3.75</v>
      </c>
      <c r="F46" s="158" t="str">
        <f t="shared" si="3"/>
        <v/>
      </c>
      <c r="G46" s="159" t="str">
        <f t="shared" si="4"/>
        <v/>
      </c>
      <c r="H46" s="124"/>
      <c r="I46" s="124"/>
      <c r="J46" s="56">
        <v>3.75</v>
      </c>
      <c r="K46" s="156">
        <v>60001</v>
      </c>
      <c r="L46" s="156">
        <v>80000</v>
      </c>
      <c r="M46" s="83"/>
      <c r="N46" s="83"/>
      <c r="O46" s="83"/>
      <c r="P46" s="83"/>
      <c r="Q46" s="83"/>
      <c r="S46" s="86"/>
      <c r="T46" s="91"/>
      <c r="U46" s="91"/>
    </row>
    <row r="47" spans="2:21" x14ac:dyDescent="0.2">
      <c r="B47" s="156">
        <f t="shared" si="2"/>
        <v>80000</v>
      </c>
      <c r="C47" s="156">
        <v>100000</v>
      </c>
      <c r="D47" s="157">
        <v>10</v>
      </c>
      <c r="E47" s="157">
        <v>4</v>
      </c>
      <c r="F47" s="158" t="str">
        <f t="shared" si="3"/>
        <v/>
      </c>
      <c r="G47" s="159" t="str">
        <f t="shared" si="4"/>
        <v/>
      </c>
      <c r="H47" s="124"/>
      <c r="I47" s="124"/>
      <c r="J47" s="56">
        <v>4</v>
      </c>
      <c r="K47" s="156">
        <v>80001</v>
      </c>
      <c r="L47" s="156">
        <v>100000</v>
      </c>
      <c r="M47" s="83"/>
      <c r="N47" s="83"/>
      <c r="O47" s="83"/>
      <c r="P47" s="83"/>
      <c r="Q47" s="83"/>
      <c r="S47" s="86"/>
      <c r="T47" s="91"/>
      <c r="U47" s="91"/>
    </row>
    <row r="48" spans="2:21" ht="13.5" thickBot="1" x14ac:dyDescent="0.25">
      <c r="B48" s="160">
        <f>+C47</f>
        <v>100000</v>
      </c>
      <c r="C48" s="160">
        <v>999999999</v>
      </c>
      <c r="D48" s="161">
        <v>10</v>
      </c>
      <c r="E48" s="161">
        <v>4.0999999999999996</v>
      </c>
      <c r="F48" s="162" t="str">
        <f>IF(AND((($C$53*80%)+(50%*$C$54))&gt;=B48,(($C$53*80%)+(50%*$C$54))&lt;C48),D48,"")</f>
        <v/>
      </c>
      <c r="G48" s="163" t="str">
        <f>IF(AND((($C$53*80%)+(50%*$C$54))&gt;=B48,(($C$53*80%)+(50%*$C$54))&lt;C48),E48,"")</f>
        <v/>
      </c>
      <c r="H48" s="124"/>
      <c r="I48" s="124"/>
      <c r="J48" s="56">
        <v>4.0999999999999996</v>
      </c>
      <c r="K48" s="160">
        <v>100001</v>
      </c>
      <c r="L48" s="160">
        <v>999999999</v>
      </c>
      <c r="M48" s="95"/>
      <c r="N48" s="95"/>
      <c r="O48" s="83"/>
      <c r="P48" s="95"/>
      <c r="Q48" s="95"/>
      <c r="S48" s="86"/>
      <c r="T48" s="91"/>
      <c r="U48" s="91"/>
    </row>
    <row r="49" spans="2:21" x14ac:dyDescent="0.2">
      <c r="E49" s="95"/>
      <c r="F49" s="95"/>
      <c r="L49" s="95"/>
      <c r="M49" s="83"/>
      <c r="N49" s="83"/>
      <c r="O49" s="95"/>
      <c r="P49" s="95"/>
      <c r="Q49" s="95"/>
      <c r="S49" s="86"/>
      <c r="T49" s="91"/>
      <c r="U49" s="91"/>
    </row>
    <row r="50" spans="2:21" x14ac:dyDescent="0.2">
      <c r="E50" s="95"/>
      <c r="F50" s="95"/>
      <c r="M50" s="83"/>
      <c r="N50" s="83"/>
      <c r="O50" s="95"/>
      <c r="P50" s="95"/>
      <c r="Q50" s="95"/>
      <c r="S50" s="86"/>
      <c r="T50" s="91"/>
      <c r="U50" s="91"/>
    </row>
    <row r="51" spans="2:21" x14ac:dyDescent="0.2">
      <c r="B51" s="55" t="s">
        <v>73</v>
      </c>
      <c r="C51" s="55"/>
      <c r="D51" s="78"/>
    </row>
    <row r="52" spans="2:21" x14ac:dyDescent="0.2">
      <c r="B52" s="96" t="s">
        <v>89</v>
      </c>
      <c r="C52" s="77">
        <f>+Tabla!D15</f>
        <v>0</v>
      </c>
      <c r="D52" s="169" t="s">
        <v>97</v>
      </c>
      <c r="E52" s="169" t="s">
        <v>98</v>
      </c>
      <c r="F52" s="126"/>
      <c r="G52" s="126"/>
    </row>
    <row r="53" spans="2:21" x14ac:dyDescent="0.2">
      <c r="B53" s="96" t="s">
        <v>90</v>
      </c>
      <c r="C53" s="77">
        <f>+Tabla!D22</f>
        <v>0</v>
      </c>
      <c r="D53" s="170">
        <v>0.8</v>
      </c>
      <c r="E53" s="170">
        <v>0.5</v>
      </c>
      <c r="F53" s="126"/>
      <c r="G53" s="126"/>
    </row>
    <row r="54" spans="2:21" x14ac:dyDescent="0.2">
      <c r="B54" s="96" t="s">
        <v>92</v>
      </c>
      <c r="C54" s="77">
        <f>+Tabla!D23</f>
        <v>0</v>
      </c>
      <c r="D54" s="164">
        <f>+C53*D53</f>
        <v>0</v>
      </c>
      <c r="E54" s="164">
        <f>+C54*E53</f>
        <v>0</v>
      </c>
    </row>
    <row r="55" spans="2:21" x14ac:dyDescent="0.2">
      <c r="B55" s="96" t="s">
        <v>91</v>
      </c>
      <c r="C55" s="77">
        <f>+Tabla!D24</f>
        <v>0</v>
      </c>
      <c r="D55" s="150"/>
      <c r="F55" s="126"/>
      <c r="G55" s="126"/>
    </row>
    <row r="56" spans="2:21" x14ac:dyDescent="0.2">
      <c r="B56" s="96" t="s">
        <v>28</v>
      </c>
      <c r="C56" s="125">
        <f>+TI</f>
        <v>0.24</v>
      </c>
      <c r="D56" s="169" t="s">
        <v>99</v>
      </c>
      <c r="F56" s="126"/>
      <c r="G56" s="126"/>
    </row>
    <row r="57" spans="2:21" x14ac:dyDescent="0.2">
      <c r="B57" s="97" t="s">
        <v>29</v>
      </c>
      <c r="C57" s="98">
        <f>+PM</f>
        <v>0</v>
      </c>
      <c r="D57" s="168">
        <v>0.35</v>
      </c>
      <c r="F57" s="126"/>
      <c r="G57" s="126"/>
    </row>
    <row r="58" spans="2:21" x14ac:dyDescent="0.2">
      <c r="B58" s="97" t="s">
        <v>74</v>
      </c>
      <c r="C58" s="98">
        <f>+Tabla!D25</f>
        <v>0</v>
      </c>
      <c r="D58" s="168">
        <v>0.2</v>
      </c>
      <c r="F58" s="126"/>
      <c r="G58" s="126"/>
    </row>
    <row r="59" spans="2:21" x14ac:dyDescent="0.2">
      <c r="B59" s="128" t="s">
        <v>93</v>
      </c>
      <c r="C59" s="129">
        <f>+Tabla!D21</f>
        <v>0</v>
      </c>
      <c r="D59" s="166" t="str">
        <f>+IF(C59=0,"",IF(C59="Si",D57,D58))</f>
        <v/>
      </c>
      <c r="F59" s="126"/>
      <c r="G59" s="126"/>
    </row>
    <row r="60" spans="2:21" x14ac:dyDescent="0.2">
      <c r="B60" s="55" t="s">
        <v>75</v>
      </c>
      <c r="C60" s="55" t="s">
        <v>76</v>
      </c>
      <c r="D60" s="55" t="s">
        <v>77</v>
      </c>
      <c r="F60" s="126"/>
      <c r="G60" s="126"/>
    </row>
    <row r="61" spans="2:21" x14ac:dyDescent="0.2">
      <c r="B61" s="99" t="s">
        <v>5</v>
      </c>
      <c r="C61" s="127">
        <f>+C56</f>
        <v>0.24</v>
      </c>
      <c r="D61" s="100"/>
      <c r="E61" s="167"/>
      <c r="F61" s="126"/>
      <c r="G61" s="126"/>
    </row>
    <row r="62" spans="2:21" x14ac:dyDescent="0.2">
      <c r="B62" s="99" t="s">
        <v>2</v>
      </c>
      <c r="C62" s="101">
        <f>SUM($F$32:$F$48)*$D$7</f>
        <v>0</v>
      </c>
      <c r="D62" s="101"/>
      <c r="E62" s="167"/>
      <c r="F62" s="126"/>
      <c r="G62" s="126"/>
    </row>
    <row r="63" spans="2:21" x14ac:dyDescent="0.2">
      <c r="B63" s="99" t="s">
        <v>4</v>
      </c>
      <c r="C63" s="102">
        <f>SUM($G$32:$G$48)</f>
        <v>0</v>
      </c>
      <c r="D63" s="102"/>
      <c r="E63" s="167"/>
      <c r="F63" s="126"/>
      <c r="G63" s="126"/>
    </row>
    <row r="64" spans="2:21" x14ac:dyDescent="0.2">
      <c r="B64" s="133" t="s">
        <v>0</v>
      </c>
      <c r="C64" s="134">
        <f>IF(ISERROR(D54+E54-C55-(1+C58)*C62*C63),"",D54+E54-C55-(1+C58)*C62*C63)</f>
        <v>0</v>
      </c>
      <c r="D64" s="134">
        <f>+IF(ISERROR(PV(C61/12,C57,-C64,0,0)),"",PV(C61/12,C57,-C64,0,0))</f>
        <v>0</v>
      </c>
      <c r="E64" s="150"/>
      <c r="F64" s="126"/>
      <c r="G64" s="126"/>
      <c r="H64" s="165"/>
    </row>
    <row r="65" spans="2:8" x14ac:dyDescent="0.2">
      <c r="B65" s="99" t="s">
        <v>1</v>
      </c>
      <c r="C65" s="101">
        <f>+IF(C59=0,0,(D54+E54)*D59-C55)</f>
        <v>0</v>
      </c>
      <c r="D65" s="101">
        <f>IF(ISERROR(PV(C61/12,$C$57,-C65,0,0)),"",PV(C61/12,$C$57,-C65,0,0))</f>
        <v>0</v>
      </c>
      <c r="F65" s="126"/>
      <c r="G65" s="126"/>
    </row>
    <row r="66" spans="2:8" x14ac:dyDescent="0.2">
      <c r="B66" s="99" t="s">
        <v>78</v>
      </c>
      <c r="C66" s="101"/>
      <c r="D66" s="101">
        <f>+C52</f>
        <v>0</v>
      </c>
      <c r="F66" s="126"/>
      <c r="G66" s="126"/>
    </row>
    <row r="67" spans="2:8" x14ac:dyDescent="0.2">
      <c r="B67" s="99" t="s">
        <v>79</v>
      </c>
      <c r="C67" s="101" t="e">
        <f>+PMT(C61/12,C57,-D67,0,0)</f>
        <v>#NUM!</v>
      </c>
      <c r="D67" s="101">
        <f>+MIN(D64,D65,D66)</f>
        <v>0</v>
      </c>
      <c r="F67" s="126"/>
      <c r="G67" s="126"/>
    </row>
    <row r="68" spans="2:8" ht="25.5" x14ac:dyDescent="0.2">
      <c r="B68" s="133" t="s">
        <v>27</v>
      </c>
      <c r="C68" s="134"/>
      <c r="D68" s="135" t="str">
        <f>+IF(AND((C53+C54)&lt;IMin,C59="No"),E9,IF(OR(D65&lt;=0,D64&lt;=0),"Capacidad de pago insuficiente",IF(D67&gt;0,"Máximo monto","")))</f>
        <v>Capacidad de pago insuficiente</v>
      </c>
      <c r="F68" s="126"/>
      <c r="G68" s="126"/>
      <c r="H68" s="151"/>
    </row>
    <row r="69" spans="2:8" x14ac:dyDescent="0.2">
      <c r="E69" s="167"/>
      <c r="F69" s="126"/>
      <c r="G69" s="126"/>
      <c r="H69" s="151"/>
    </row>
    <row r="70" spans="2:8" x14ac:dyDescent="0.2">
      <c r="E70" s="167"/>
      <c r="F70" s="126"/>
      <c r="G70" s="126"/>
      <c r="H70" s="150"/>
    </row>
    <row r="71" spans="2:8" x14ac:dyDescent="0.2">
      <c r="E71" s="167"/>
      <c r="F71" s="126"/>
      <c r="G71" s="126"/>
    </row>
    <row r="72" spans="2:8" ht="13.5" thickBot="1" x14ac:dyDescent="0.25">
      <c r="B72" s="55" t="s">
        <v>19</v>
      </c>
      <c r="C72" s="55" t="s">
        <v>102</v>
      </c>
      <c r="F72" s="126"/>
      <c r="G72" s="126"/>
    </row>
    <row r="73" spans="2:8" x14ac:dyDescent="0.2">
      <c r="B73" s="181" t="s">
        <v>94</v>
      </c>
      <c r="C73" s="185">
        <v>12</v>
      </c>
    </row>
    <row r="74" spans="2:8" x14ac:dyDescent="0.2">
      <c r="B74" s="182" t="s">
        <v>94</v>
      </c>
      <c r="C74" s="186">
        <v>18</v>
      </c>
    </row>
    <row r="75" spans="2:8" x14ac:dyDescent="0.2">
      <c r="B75" s="182" t="s">
        <v>94</v>
      </c>
      <c r="C75" s="186">
        <v>24</v>
      </c>
    </row>
    <row r="76" spans="2:8" ht="13.5" thickBot="1" x14ac:dyDescent="0.25">
      <c r="B76" s="183" t="s">
        <v>94</v>
      </c>
      <c r="C76" s="187">
        <v>36</v>
      </c>
    </row>
    <row r="77" spans="2:8" x14ac:dyDescent="0.2">
      <c r="B77" s="181" t="s">
        <v>22</v>
      </c>
      <c r="C77" s="185">
        <v>12</v>
      </c>
    </row>
    <row r="78" spans="2:8" x14ac:dyDescent="0.2">
      <c r="B78" s="182" t="s">
        <v>22</v>
      </c>
      <c r="C78" s="186">
        <v>18</v>
      </c>
    </row>
    <row r="79" spans="2:8" x14ac:dyDescent="0.2">
      <c r="B79" s="182" t="s">
        <v>22</v>
      </c>
      <c r="C79" s="186">
        <v>24</v>
      </c>
    </row>
    <row r="80" spans="2:8" ht="13.5" thickBot="1" x14ac:dyDescent="0.25">
      <c r="B80" s="183" t="s">
        <v>22</v>
      </c>
      <c r="C80" s="187">
        <v>36</v>
      </c>
    </row>
    <row r="81" spans="2:3" x14ac:dyDescent="0.2">
      <c r="B81" s="181" t="s">
        <v>37</v>
      </c>
      <c r="C81" s="185">
        <v>12</v>
      </c>
    </row>
    <row r="82" spans="2:3" x14ac:dyDescent="0.2">
      <c r="B82" s="182" t="s">
        <v>37</v>
      </c>
      <c r="C82" s="186">
        <v>18</v>
      </c>
    </row>
    <row r="83" spans="2:3" x14ac:dyDescent="0.2">
      <c r="B83" s="182" t="s">
        <v>37</v>
      </c>
      <c r="C83" s="186">
        <v>24</v>
      </c>
    </row>
    <row r="84" spans="2:3" ht="13.5" thickBot="1" x14ac:dyDescent="0.25">
      <c r="B84" s="183" t="s">
        <v>37</v>
      </c>
      <c r="C84" s="187">
        <v>36</v>
      </c>
    </row>
    <row r="85" spans="2:3" x14ac:dyDescent="0.2">
      <c r="B85" s="181" t="s">
        <v>82</v>
      </c>
      <c r="C85" s="185">
        <v>12</v>
      </c>
    </row>
    <row r="86" spans="2:3" x14ac:dyDescent="0.2">
      <c r="B86" s="182" t="s">
        <v>82</v>
      </c>
      <c r="C86" s="186">
        <v>18</v>
      </c>
    </row>
    <row r="87" spans="2:3" x14ac:dyDescent="0.2">
      <c r="B87" s="182" t="s">
        <v>82</v>
      </c>
      <c r="C87" s="186">
        <v>24</v>
      </c>
    </row>
    <row r="88" spans="2:3" ht="13.5" thickBot="1" x14ac:dyDescent="0.25">
      <c r="B88" s="183" t="s">
        <v>82</v>
      </c>
      <c r="C88" s="187">
        <v>36</v>
      </c>
    </row>
    <row r="89" spans="2:3" x14ac:dyDescent="0.2">
      <c r="B89" s="181" t="s">
        <v>58</v>
      </c>
      <c r="C89" s="185">
        <v>12</v>
      </c>
    </row>
    <row r="90" spans="2:3" x14ac:dyDescent="0.2">
      <c r="B90" s="182" t="s">
        <v>58</v>
      </c>
      <c r="C90" s="186">
        <v>18</v>
      </c>
    </row>
    <row r="91" spans="2:3" x14ac:dyDescent="0.2">
      <c r="B91" s="182" t="s">
        <v>58</v>
      </c>
      <c r="C91" s="186">
        <v>24</v>
      </c>
    </row>
    <row r="92" spans="2:3" ht="13.5" thickBot="1" x14ac:dyDescent="0.25">
      <c r="B92" s="183" t="s">
        <v>58</v>
      </c>
      <c r="C92" s="187">
        <v>36</v>
      </c>
    </row>
    <row r="93" spans="2:3" ht="13.5" thickBot="1" x14ac:dyDescent="0.25">
      <c r="B93" s="184" t="s">
        <v>59</v>
      </c>
      <c r="C93" s="188">
        <v>60</v>
      </c>
    </row>
    <row r="94" spans="2:3" x14ac:dyDescent="0.2">
      <c r="B94" s="181" t="s">
        <v>95</v>
      </c>
      <c r="C94" s="185">
        <v>12</v>
      </c>
    </row>
    <row r="95" spans="2:3" x14ac:dyDescent="0.2">
      <c r="B95" s="182" t="s">
        <v>95</v>
      </c>
      <c r="C95" s="186">
        <v>18</v>
      </c>
    </row>
    <row r="96" spans="2:3" x14ac:dyDescent="0.2">
      <c r="B96" s="182" t="s">
        <v>95</v>
      </c>
      <c r="C96" s="186">
        <v>24</v>
      </c>
    </row>
    <row r="97" spans="2:3" ht="13.5" thickBot="1" x14ac:dyDescent="0.25">
      <c r="B97" s="183" t="s">
        <v>95</v>
      </c>
      <c r="C97" s="187">
        <v>36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23</vt:i4>
      </vt:variant>
    </vt:vector>
  </HeadingPairs>
  <TitlesOfParts>
    <vt:vector size="26" baseType="lpstr">
      <vt:lpstr>Tabla</vt:lpstr>
      <vt:lpstr>Factor (2)</vt:lpstr>
      <vt:lpstr>Hoja2</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Fleitas, Mayerlin.</cp:lastModifiedBy>
  <cp:lastPrinted>2014-11-26T14:23:55Z</cp:lastPrinted>
  <dcterms:created xsi:type="dcterms:W3CDTF">2014-04-30T19:54:20Z</dcterms:created>
  <dcterms:modified xsi:type="dcterms:W3CDTF">2017-04-28T15:13:25Z</dcterms:modified>
</cp:coreProperties>
</file>