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bc217339\Documents\Portal web\Simuladores\"/>
    </mc:Choice>
  </mc:AlternateContent>
  <workbookProtection workbookPassword="CB1F" lockStructure="1"/>
  <bookViews>
    <workbookView showSheetTabs="0" xWindow="-105" yWindow="4230" windowWidth="19320" windowHeight="5670" tabRatio="745"/>
  </bookViews>
  <sheets>
    <sheet name="Tabla" sheetId="2" r:id="rId1"/>
    <sheet name="Factor" sheetId="5" state="hidden" r:id="rId2"/>
  </sheets>
  <definedNames>
    <definedName name="_xlnm.Print_Area" localSheetId="0">Tabla!$A$1:$G$26</definedName>
  </definedNames>
  <calcPr calcId="152511"/>
</workbook>
</file>

<file path=xl/calcChain.xml><?xml version="1.0" encoding="utf-8"?>
<calcChain xmlns="http://schemas.openxmlformats.org/spreadsheetml/2006/main">
  <c r="B47" i="5" l="1"/>
  <c r="B46" i="5"/>
  <c r="A46" i="5"/>
  <c r="D11" i="2" l="1"/>
  <c r="B11" i="5"/>
  <c r="C10" i="5"/>
  <c r="B10" i="5"/>
  <c r="C9" i="5"/>
  <c r="B9" i="5"/>
  <c r="C8" i="5"/>
  <c r="B8" i="5"/>
  <c r="G42" i="5"/>
  <c r="H42" i="5"/>
  <c r="G41" i="5"/>
  <c r="H41" i="5"/>
  <c r="G40" i="5"/>
  <c r="G39" i="5"/>
  <c r="H39" i="5"/>
  <c r="G38" i="5"/>
  <c r="H38" i="5"/>
  <c r="G37" i="5"/>
  <c r="H37" i="5"/>
  <c r="G36" i="5"/>
  <c r="G35" i="5"/>
  <c r="H35" i="5"/>
  <c r="G34" i="5"/>
  <c r="H34" i="5"/>
  <c r="G33" i="5"/>
  <c r="H33" i="5"/>
  <c r="G32" i="5"/>
  <c r="G31" i="5"/>
  <c r="H31" i="5"/>
  <c r="G30" i="5"/>
  <c r="H30" i="5"/>
  <c r="G29" i="5"/>
  <c r="H29" i="5"/>
  <c r="G28" i="5"/>
  <c r="G27" i="5"/>
  <c r="H27" i="5"/>
  <c r="G26" i="5"/>
  <c r="H26" i="5"/>
  <c r="G25" i="5"/>
  <c r="H25" i="5"/>
  <c r="G24" i="5"/>
  <c r="G23" i="5"/>
  <c r="H23" i="5"/>
  <c r="G22" i="5"/>
  <c r="H22" i="5"/>
  <c r="G21" i="5"/>
  <c r="H21" i="5"/>
  <c r="G20" i="5"/>
  <c r="G19" i="5"/>
  <c r="H19" i="5"/>
  <c r="G18" i="5"/>
  <c r="H18" i="5"/>
  <c r="G17" i="5"/>
  <c r="H17" i="5"/>
  <c r="G16" i="5"/>
  <c r="G15" i="5"/>
  <c r="H15" i="5"/>
  <c r="C42" i="5"/>
  <c r="C41" i="5"/>
  <c r="C40" i="5"/>
  <c r="H40" i="5"/>
  <c r="C39" i="5"/>
  <c r="C38" i="5"/>
  <c r="C37" i="5"/>
  <c r="C36" i="5"/>
  <c r="H36" i="5"/>
  <c r="C35" i="5"/>
  <c r="C34" i="5"/>
  <c r="C33" i="5"/>
  <c r="C32" i="5"/>
  <c r="H32" i="5"/>
  <c r="C31" i="5"/>
  <c r="C30" i="5"/>
  <c r="C29" i="5"/>
  <c r="C28" i="5"/>
  <c r="H28" i="5"/>
  <c r="C27" i="5"/>
  <c r="C26" i="5"/>
  <c r="C25" i="5"/>
  <c r="C24" i="5"/>
  <c r="H24" i="5"/>
  <c r="C23" i="5"/>
  <c r="C22" i="5"/>
  <c r="C21" i="5"/>
  <c r="C20" i="5"/>
  <c r="H20" i="5"/>
  <c r="C19" i="5"/>
  <c r="C18" i="5"/>
  <c r="C17" i="5"/>
  <c r="C16" i="5"/>
  <c r="H16" i="5"/>
  <c r="C15" i="5"/>
  <c r="A48" i="5"/>
  <c r="B48" i="5" s="1"/>
  <c r="A49" i="5"/>
  <c r="B49" i="5" s="1"/>
  <c r="A50" i="5"/>
  <c r="A47" i="5"/>
  <c r="B67" i="5"/>
  <c r="B68" i="5"/>
  <c r="F46" i="5" s="1"/>
  <c r="D9" i="2"/>
  <c r="B73" i="5"/>
  <c r="B71" i="5"/>
  <c r="B70" i="5"/>
  <c r="B1" i="5"/>
  <c r="B2" i="5"/>
  <c r="B3" i="5" s="1"/>
  <c r="B4" i="5" s="1"/>
  <c r="B72" i="5"/>
  <c r="B77" i="5"/>
  <c r="B79" i="5"/>
  <c r="D24" i="2"/>
  <c r="G14" i="2"/>
  <c r="B76" i="5"/>
  <c r="C76" i="5" s="1"/>
  <c r="B78" i="5"/>
  <c r="E48" i="5" l="1"/>
  <c r="F47" i="5"/>
  <c r="B50" i="5"/>
  <c r="F49" i="5"/>
  <c r="E47" i="5"/>
  <c r="D19" i="2"/>
  <c r="E49" i="5"/>
  <c r="F48" i="5"/>
  <c r="B69" i="5"/>
  <c r="E46" i="5"/>
  <c r="F50" i="5" l="1"/>
  <c r="A51" i="5"/>
  <c r="E50" i="5"/>
  <c r="B51" i="5" l="1"/>
  <c r="A52" i="5" s="1"/>
  <c r="E51" i="5"/>
  <c r="B52" i="5" l="1"/>
  <c r="A53" i="5" s="1"/>
  <c r="E52" i="5"/>
  <c r="F51" i="5"/>
  <c r="B53" i="5" l="1"/>
  <c r="A54" i="5" s="1"/>
  <c r="E53" i="5"/>
  <c r="F52" i="5"/>
  <c r="B54" i="5" l="1"/>
  <c r="A55" i="5" s="1"/>
  <c r="E54" i="5"/>
  <c r="F54" i="5"/>
  <c r="F53" i="5"/>
  <c r="B55" i="5" l="1"/>
  <c r="A56" i="5" s="1"/>
  <c r="F55" i="5"/>
  <c r="E55" i="5"/>
  <c r="B56" i="5" l="1"/>
  <c r="A57" i="5" s="1"/>
  <c r="F56" i="5"/>
  <c r="B57" i="5" l="1"/>
  <c r="A58" i="5" s="1"/>
  <c r="E57" i="5"/>
  <c r="F57" i="5"/>
  <c r="E56" i="5"/>
  <c r="B58" i="5" l="1"/>
  <c r="A59" i="5" s="1"/>
  <c r="E58" i="5"/>
  <c r="B59" i="5" l="1"/>
  <c r="A60" i="5" s="1"/>
  <c r="E59" i="5"/>
  <c r="F58" i="5"/>
  <c r="B60" i="5" l="1"/>
  <c r="A61" i="5" s="1"/>
  <c r="E60" i="5"/>
  <c r="F60" i="5"/>
  <c r="F59" i="5"/>
  <c r="B61" i="5" l="1"/>
  <c r="A62" i="5" s="1"/>
  <c r="F61" i="5"/>
  <c r="E62" i="5" l="1"/>
  <c r="F62" i="5"/>
  <c r="B75" i="5" s="1"/>
  <c r="E61" i="5"/>
  <c r="B74" i="5" l="1"/>
  <c r="B66" i="5" s="1"/>
  <c r="D20" i="2" l="1"/>
  <c r="B80" i="5"/>
  <c r="C80" i="5" s="1"/>
  <c r="C66" i="5"/>
  <c r="C81" i="5" l="1"/>
  <c r="C82" i="5" s="1"/>
  <c r="C83" i="5" s="1"/>
  <c r="I19" i="5" s="1"/>
  <c r="I17" i="5" l="1"/>
  <c r="I28" i="5"/>
  <c r="I31" i="5"/>
  <c r="I21" i="5"/>
  <c r="I24" i="5"/>
  <c r="I23" i="5"/>
  <c r="I35" i="5"/>
  <c r="I37" i="5"/>
  <c r="I25" i="5"/>
  <c r="I18" i="5"/>
  <c r="I42" i="5"/>
  <c r="I20" i="5"/>
  <c r="D83" i="5"/>
  <c r="I41" i="5"/>
  <c r="I34" i="5"/>
  <c r="I22" i="5"/>
  <c r="I39" i="5"/>
  <c r="I33" i="5"/>
  <c r="I30" i="5"/>
  <c r="I27" i="5"/>
  <c r="I16" i="5"/>
  <c r="I15" i="5"/>
  <c r="I36" i="5"/>
  <c r="I38" i="5"/>
  <c r="I26" i="5"/>
  <c r="I29" i="5"/>
  <c r="I40" i="5"/>
  <c r="I32" i="5"/>
  <c r="C84" i="5" l="1"/>
  <c r="D85" i="5" s="1"/>
  <c r="C85" i="5"/>
  <c r="C86" i="5" s="1"/>
  <c r="C87" i="5" l="1"/>
  <c r="C88" i="5" s="1"/>
  <c r="D86" i="5"/>
  <c r="B88" i="5" s="1"/>
  <c r="B22" i="2" s="1"/>
  <c r="D22" i="2" s="1"/>
</calcChain>
</file>

<file path=xl/comments1.xml><?xml version="1.0" encoding="utf-8"?>
<comments xmlns="http://schemas.openxmlformats.org/spreadsheetml/2006/main">
  <authors>
    <author>bc25109</author>
  </authors>
  <commentList>
    <comment ref="D9" authorId="0" shapeId="0">
      <text>
        <r>
          <rPr>
            <sz val="9"/>
            <color indexed="81"/>
            <rFont val="Arial"/>
            <family val="2"/>
          </rPr>
          <t xml:space="preserve">La tasa de interés indicada se actualiza periódicamente. Si desea conocer cuál es la tasa de interés para el día de hoy, puede consultar el campo "Tasas" en la pestaña "La institución" de la página web del Bancaribe. 
</t>
        </r>
      </text>
    </comment>
    <comment ref="D11" authorId="0" shapeId="0">
      <text>
        <r>
          <rPr>
            <sz val="9"/>
            <color indexed="81"/>
            <rFont val="Arial"/>
            <family val="2"/>
          </rPr>
          <t xml:space="preserve">El plazo es fijo y el tipo de crédito es rotativo.
</t>
        </r>
      </text>
    </comment>
    <comment ref="D14" authorId="0" shapeId="0">
      <text>
        <r>
          <rPr>
            <b/>
            <sz val="9"/>
            <color indexed="81"/>
            <rFont val="Arial"/>
            <family val="2"/>
          </rPr>
          <t xml:space="preserve">Ingreso mensual: </t>
        </r>
        <r>
          <rPr>
            <sz val="9"/>
            <color indexed="81"/>
            <rFont val="Arial"/>
            <family val="2"/>
          </rPr>
          <t>es el ingreso mínimo para solicitar una TDC.</t>
        </r>
      </text>
    </comment>
    <comment ref="D15" authorId="0" shapeId="0">
      <text>
        <r>
          <rPr>
            <b/>
            <sz val="9"/>
            <color indexed="81"/>
            <rFont val="Arial"/>
            <family val="2"/>
          </rPr>
          <t>Otros ingresos:</t>
        </r>
        <r>
          <rPr>
            <sz val="9"/>
            <color indexed="81"/>
            <rFont val="Arial"/>
            <family val="2"/>
          </rPr>
          <t xml:space="preserve"> son todas aquellas remuneraciones percibidas en ocasión del desarrollo de actividades distintas a la ocupación principal de la persona, comisiones, bonificaciones, utilidades, alquileres, intereses, dividendos, entre otros.</t>
        </r>
      </text>
    </comment>
    <comment ref="D16" authorId="0" shapeId="0">
      <text>
        <r>
          <rPr>
            <b/>
            <sz val="9"/>
            <color indexed="81"/>
            <rFont val="Arial"/>
            <family val="2"/>
          </rPr>
          <t xml:space="preserve">Gastos financieros: </t>
        </r>
        <r>
          <rPr>
            <sz val="9"/>
            <color indexed="81"/>
            <rFont val="Arial"/>
            <family val="2"/>
          </rPr>
          <t xml:space="preserve">se considera gasto fianciero el valor de las cuotas que mensualmente son canceladas por el cliente por concepto de deudas financieras contraídas.
</t>
        </r>
      </text>
    </comment>
    <comment ref="D17" authorId="0" shapeId="0">
      <text>
        <r>
          <rPr>
            <b/>
            <sz val="9"/>
            <color indexed="81"/>
            <rFont val="Arial"/>
            <family val="2"/>
          </rPr>
          <t xml:space="preserve">Cargas familiares: </t>
        </r>
        <r>
          <rPr>
            <sz val="9"/>
            <color indexed="81"/>
            <rFont val="Arial"/>
            <family val="2"/>
          </rPr>
          <t xml:space="preserve">son todas las personas que dependen económicamente del cliente y que son declaradas en la solicitud de crédito.
</t>
        </r>
      </text>
    </comment>
    <comment ref="D18" authorId="0" shapeId="0">
      <text>
        <r>
          <rPr>
            <b/>
            <sz val="9"/>
            <color indexed="81"/>
            <rFont val="Arial"/>
            <family val="2"/>
          </rPr>
          <t xml:space="preserve">Experiencia crediticia bancaria previa: </t>
        </r>
        <r>
          <rPr>
            <sz val="9"/>
            <color indexed="81"/>
            <rFont val="Arial"/>
            <family val="2"/>
          </rPr>
          <t xml:space="preserve">considera si el cliente tiene o ha tenia créditos en Bancaribe o en cualquier otra entidad financiera. 
</t>
        </r>
      </text>
    </comment>
  </commentList>
</comments>
</file>

<file path=xl/sharedStrings.xml><?xml version="1.0" encoding="utf-8"?>
<sst xmlns="http://schemas.openxmlformats.org/spreadsheetml/2006/main" count="108" uniqueCount="67">
  <si>
    <t>desde</t>
  </si>
  <si>
    <t>hasta</t>
  </si>
  <si>
    <t>Capacidad de Pago</t>
  </si>
  <si>
    <t>Gastos Financieros</t>
  </si>
  <si>
    <t>Cargas Familiares</t>
  </si>
  <si>
    <t>CMSDM</t>
  </si>
  <si>
    <t>Fact UT</t>
  </si>
  <si>
    <t>UT</t>
  </si>
  <si>
    <t>FactAju</t>
  </si>
  <si>
    <t>Fact Tasa</t>
  </si>
  <si>
    <t>Cuota mensual</t>
  </si>
  <si>
    <t>Capacidad de pago</t>
  </si>
  <si>
    <t>Total crédito</t>
  </si>
  <si>
    <t>Tasa de Interés:</t>
  </si>
  <si>
    <t>CONDICIONES DEL CRÉDITO</t>
  </si>
  <si>
    <t>Cargas familiares (no incluir al solicitante):</t>
  </si>
  <si>
    <t>DATOS SOCIOECONÓMICOS</t>
  </si>
  <si>
    <t>Unidad tributaria</t>
  </si>
  <si>
    <t>*Campo Requerido</t>
  </si>
  <si>
    <t>SIMULACIÓN PARA "TARJETAS DE CRÉDITOS"</t>
  </si>
  <si>
    <t>MONTO ESTIMADO DEL CRÉDITO</t>
  </si>
  <si>
    <t>Plazo del crédito (N° de cuotas):</t>
  </si>
  <si>
    <t>Plazo promocional del crédito (N° de cuotas):</t>
  </si>
  <si>
    <t>Tasa promocional de Interés:</t>
  </si>
  <si>
    <t>Clásica</t>
  </si>
  <si>
    <t>Platinum</t>
  </si>
  <si>
    <t>Black/Signature</t>
  </si>
  <si>
    <t>Tipo de Cambio</t>
  </si>
  <si>
    <t>Otros ingresos</t>
  </si>
  <si>
    <t>Ingreso mensual declarado y demostrado</t>
  </si>
  <si>
    <t>Experiencia crediticia bancaria previa:</t>
  </si>
  <si>
    <t>Porción mensual del capital</t>
  </si>
  <si>
    <t>Porción mensula del interes</t>
  </si>
  <si>
    <t>Porción mensual</t>
  </si>
  <si>
    <t>Factor de redondeo</t>
  </si>
  <si>
    <t>Tipo de TDC</t>
  </si>
  <si>
    <t>Dorada</t>
  </si>
  <si>
    <t>Si</t>
  </si>
  <si>
    <t>No</t>
  </si>
  <si>
    <t>(ESTOS RESULTADOS NO COMPROMETEN AL BANCO AL MOMENTO DE LA APROBACIÓN)</t>
  </si>
  <si>
    <t>Límite inferior ($)</t>
  </si>
  <si>
    <t>Límite superior ($)</t>
  </si>
  <si>
    <t>Límites crédito estimado</t>
  </si>
  <si>
    <t>Límites según los ingresos declarados</t>
  </si>
  <si>
    <t>Ingresos declarados inferior (Bs)</t>
  </si>
  <si>
    <t>Ingresos declarados máxima (Bs)</t>
  </si>
  <si>
    <t>Ingreso declarado (Bs)</t>
  </si>
  <si>
    <t>Monto máximo del crédito a otorgar (Bs)</t>
  </si>
  <si>
    <t>Monto máximo del crédito a otorgar ($)</t>
  </si>
  <si>
    <t>Monto máximo del crédito a otorgar con redondeo ($)</t>
  </si>
  <si>
    <t>Monto definitivo ($)</t>
  </si>
  <si>
    <t>Monto definitivo (Bs)</t>
  </si>
  <si>
    <t>Total ingresos</t>
  </si>
  <si>
    <t>Tabla de Ajuste para el Total de Ingresos</t>
  </si>
  <si>
    <t>Rango (Bs)</t>
  </si>
  <si>
    <t>Rango ($)</t>
  </si>
  <si>
    <t>Pendiente($ / Bs)</t>
  </si>
  <si>
    <t>Límite ($)</t>
  </si>
  <si>
    <t>Monto del crédito según ingresos totales ($)</t>
  </si>
  <si>
    <t>Monto del crédito según ingresos totales con redondeo ($)</t>
  </si>
  <si>
    <t>En adelante</t>
  </si>
  <si>
    <t>Gastos financieros:</t>
  </si>
  <si>
    <t>Ingreso mensual:</t>
  </si>
  <si>
    <t>"El resultado obtenido es referencial y de carácter informativo; en consecuencia, no podrá interpretarse como aprobación de crédito"</t>
  </si>
  <si>
    <t xml:space="preserve">En este campo se refleja el monto estimado del límite de la tarjeta de crédito al que podría optar el cliente, en Bolívares. </t>
  </si>
  <si>
    <t>Ingreso mínimo (Sm)</t>
  </si>
  <si>
    <t>Otros ingresos adicionales mensuales:</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</si>
</sst>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3" formatCode="_ * #,##0.00_ ;_ * \-#,##0.00_ ;_ * &quot;-&quot;??_ ;_ @_ "/>
    <numFmt numFmtId="164" formatCode="_(* #,##0_);_(* \(#,##0\);_(* &quot;-&quot;_);_(@_)"/>
    <numFmt numFmtId="165" formatCode="_(* #,##0.00_);_(* \(#,##0.00\);_(* &quot;-&quot;??_);_(@_)"/>
    <numFmt numFmtId="166" formatCode="&quot;Bs&quot;\ #,##0.00_);\(&quot;Bs&quot;\ #,##0.00\)"/>
    <numFmt numFmtId="167" formatCode="&quot;Bs&quot;\ #,##0.00_);[Red]\(&quot;Bs&quot;\ #,##0.00\)"/>
    <numFmt numFmtId="168" formatCode="&quot;Bs&quot;#,##0.00_);[Red]\(&quot;Bs&quot;#,##0.00\)"/>
    <numFmt numFmtId="169" formatCode="[$-F800]dddd\,\ mmmm\ dd\,\ yyyy"/>
    <numFmt numFmtId="170" formatCode="[$$-409]#,##0.00"/>
    <numFmt numFmtId="171" formatCode="_(* #,##0.000_);_(* \(#,##0.000\);_(* &quot;-&quot;??_);_(@_)"/>
    <numFmt numFmtId="172" formatCode="&quot;Bs&quot;\ #,##0.00"/>
  </numFmts>
  <fonts count="37" x14ac:knownFonts="1">
    <font>
      <sz val="10"/>
      <name val="Arial"/>
    </font>
    <font>
      <sz val="10"/>
      <name val="Arial"/>
    </font>
    <font>
      <b/>
      <sz val="10"/>
      <name val="Arial"/>
      <family val="2"/>
    </font>
    <font>
      <sz val="8"/>
      <name val="Arial"/>
      <family val="2"/>
    </font>
    <font>
      <b/>
      <sz val="10"/>
      <color indexed="9"/>
      <name val="Arial"/>
      <family val="2"/>
    </font>
    <font>
      <b/>
      <i/>
      <sz val="16"/>
      <color indexed="62"/>
      <name val="Arial"/>
      <family val="2"/>
    </font>
    <font>
      <sz val="10"/>
      <color indexed="62"/>
      <name val="Arial"/>
      <family val="2"/>
    </font>
    <font>
      <b/>
      <i/>
      <sz val="12"/>
      <color indexed="62"/>
      <name val="Arial"/>
      <family val="2"/>
    </font>
    <font>
      <b/>
      <sz val="16"/>
      <color indexed="62"/>
      <name val="Arial"/>
      <family val="2"/>
    </font>
    <font>
      <sz val="14"/>
      <color indexed="62"/>
      <name val="Arial"/>
      <family val="2"/>
    </font>
    <font>
      <sz val="12"/>
      <color indexed="62"/>
      <name val="Arial"/>
      <family val="2"/>
    </font>
    <font>
      <sz val="8"/>
      <color indexed="62"/>
      <name val="Arial"/>
      <family val="2"/>
    </font>
    <font>
      <b/>
      <i/>
      <sz val="10"/>
      <color indexed="62"/>
      <name val="Arial"/>
      <family val="2"/>
    </font>
    <font>
      <b/>
      <sz val="12"/>
      <color indexed="9"/>
      <name val="Arial"/>
      <family val="2"/>
    </font>
    <font>
      <sz val="10"/>
      <name val="Arial"/>
      <family val="2"/>
    </font>
    <font>
      <b/>
      <sz val="14"/>
      <color indexed="9"/>
      <name val="Arial"/>
      <family val="2"/>
    </font>
    <font>
      <b/>
      <i/>
      <sz val="14"/>
      <color indexed="21"/>
      <name val="Arial"/>
      <family val="2"/>
    </font>
    <font>
      <b/>
      <sz val="12"/>
      <color indexed="21"/>
      <name val="Arial"/>
      <family val="2"/>
    </font>
    <font>
      <sz val="10"/>
      <color indexed="21"/>
      <name val="Arial"/>
      <family val="2"/>
    </font>
    <font>
      <b/>
      <i/>
      <sz val="14"/>
      <color indexed="9"/>
      <name val="Arial"/>
      <family val="2"/>
    </font>
    <font>
      <sz val="9"/>
      <color indexed="23"/>
      <name val="Arial"/>
      <family val="2"/>
    </font>
    <font>
      <b/>
      <i/>
      <sz val="14"/>
      <name val="Arial"/>
      <family val="2"/>
    </font>
    <font>
      <b/>
      <sz val="16"/>
      <name val="Arial"/>
      <family val="2"/>
    </font>
    <font>
      <b/>
      <i/>
      <sz val="16"/>
      <color indexed="8"/>
      <name val="Arial"/>
      <family val="2"/>
    </font>
    <font>
      <sz val="10"/>
      <name val="Arial Narrow"/>
      <family val="2"/>
    </font>
    <font>
      <b/>
      <sz val="9"/>
      <color indexed="81"/>
      <name val="Arial"/>
      <family val="2"/>
    </font>
    <font>
      <sz val="9"/>
      <color indexed="81"/>
      <name val="Arial"/>
      <family val="2"/>
    </font>
    <font>
      <b/>
      <sz val="11"/>
      <color indexed="9"/>
      <name val="Arial"/>
      <family val="2"/>
    </font>
    <font>
      <sz val="9"/>
      <color theme="0"/>
      <name val="Arial"/>
      <family val="2"/>
    </font>
    <font>
      <sz val="10"/>
      <color theme="0"/>
      <name val="Arial"/>
      <family val="2"/>
    </font>
    <font>
      <sz val="8"/>
      <color theme="0"/>
      <name val="Arial"/>
      <family val="2"/>
    </font>
    <font>
      <b/>
      <i/>
      <sz val="12"/>
      <color theme="3"/>
      <name val="Arial"/>
      <family val="2"/>
    </font>
    <font>
      <b/>
      <sz val="18"/>
      <color theme="3"/>
      <name val="Arial"/>
      <family val="2"/>
    </font>
    <font>
      <b/>
      <sz val="11"/>
      <color theme="3"/>
      <name val="Arial"/>
      <family val="2"/>
    </font>
    <font>
      <b/>
      <sz val="10"/>
      <color theme="7"/>
      <name val="Arial"/>
      <family val="2"/>
    </font>
    <font>
      <b/>
      <sz val="10"/>
      <color theme="0"/>
      <name val="Arial"/>
      <family val="2"/>
    </font>
    <font>
      <b/>
      <i/>
      <sz val="14"/>
      <color theme="3"/>
      <name val="Arial"/>
      <family val="2"/>
    </font>
  </fonts>
  <fills count="11">
    <fill>
      <patternFill patternType="none"/>
    </fill>
    <fill>
      <patternFill patternType="gray125"/>
    </fill>
    <fill>
      <patternFill patternType="solid">
        <fgColor indexed="42"/>
        <bgColor indexed="64"/>
      </patternFill>
    </fill>
    <fill>
      <patternFill patternType="solid">
        <fgColor indexed="54"/>
        <bgColor indexed="64"/>
      </patternFill>
    </fill>
    <fill>
      <patternFill patternType="solid">
        <fgColor indexed="22"/>
        <bgColor indexed="64"/>
      </patternFill>
    </fill>
    <fill>
      <patternFill patternType="solid">
        <fgColor theme="7"/>
        <bgColor indexed="64"/>
      </patternFill>
    </fill>
    <fill>
      <patternFill patternType="solid">
        <fgColor theme="9"/>
        <bgColor indexed="64"/>
      </patternFill>
    </fill>
    <fill>
      <patternFill patternType="solid">
        <fgColor theme="8"/>
        <bgColor indexed="64"/>
      </patternFill>
    </fill>
    <fill>
      <patternFill patternType="solid">
        <fgColor theme="6"/>
        <bgColor indexed="64"/>
      </patternFill>
    </fill>
    <fill>
      <patternFill patternType="solid">
        <fgColor theme="8" tint="-0.249977111117893"/>
        <bgColor indexed="64"/>
      </patternFill>
    </fill>
    <fill>
      <patternFill patternType="solid">
        <fgColor theme="3"/>
        <bgColor indexed="64"/>
      </patternFill>
    </fill>
  </fills>
  <borders count="10">
    <border>
      <left/>
      <right/>
      <top/>
      <bottom/>
      <diagonal/>
    </border>
    <border>
      <left style="thick">
        <color indexed="9"/>
      </left>
      <right style="thick">
        <color indexed="9"/>
      </right>
      <top style="thick">
        <color indexed="9"/>
      </top>
      <bottom style="thick">
        <color indexed="9"/>
      </bottom>
      <diagonal/>
    </border>
    <border>
      <left style="thick">
        <color indexed="9"/>
      </left>
      <right style="thick">
        <color indexed="9"/>
      </right>
      <top style="thick">
        <color indexed="9"/>
      </top>
      <bottom/>
      <diagonal/>
    </border>
    <border>
      <left/>
      <right/>
      <top style="thick">
        <color indexed="9"/>
      </top>
      <bottom style="thick">
        <color indexed="9"/>
      </bottom>
      <diagonal/>
    </border>
    <border>
      <left/>
      <right style="thick">
        <color indexed="9"/>
      </right>
      <top style="thick">
        <color indexed="9"/>
      </top>
      <bottom style="thick">
        <color indexed="9"/>
      </bottom>
      <diagonal/>
    </border>
    <border>
      <left style="thick">
        <color indexed="9"/>
      </left>
      <right/>
      <top style="thick">
        <color indexed="9"/>
      </top>
      <bottom/>
      <diagonal/>
    </border>
    <border>
      <left/>
      <right style="thick">
        <color indexed="9"/>
      </right>
      <top style="thick">
        <color indexed="9"/>
      </top>
      <bottom/>
      <diagonal/>
    </border>
    <border>
      <left style="thick">
        <color indexed="9"/>
      </left>
      <right/>
      <top style="thick">
        <color indexed="9"/>
      </top>
      <bottom style="thick">
        <color indexed="9"/>
      </bottom>
      <diagonal/>
    </border>
    <border>
      <left style="thick">
        <color indexed="9"/>
      </left>
      <right/>
      <top/>
      <bottom/>
      <diagonal/>
    </border>
    <border>
      <left/>
      <right/>
      <top style="thick">
        <color indexed="9"/>
      </top>
      <bottom/>
      <diagonal/>
    </border>
  </borders>
  <cellStyleXfs count="4">
    <xf numFmtId="0" fontId="0" fillId="0" borderId="0"/>
    <xf numFmtId="165" fontId="1" fillId="0" borderId="0" applyFont="0" applyFill="0" applyBorder="0" applyAlignment="0" applyProtection="0"/>
    <xf numFmtId="0" fontId="14" fillId="0" borderId="0"/>
    <xf numFmtId="9" fontId="1" fillId="0" borderId="0" applyFont="0" applyFill="0" applyBorder="0" applyAlignment="0" applyProtection="0"/>
  </cellStyleXfs>
  <cellXfs count="122">
    <xf numFmtId="0" fontId="0" fillId="0" borderId="0" xfId="0"/>
    <xf numFmtId="0" fontId="6" fillId="0" borderId="0" xfId="0" applyFont="1" applyBorder="1" applyAlignment="1" applyProtection="1">
      <alignment vertical="center"/>
      <protection hidden="1"/>
    </xf>
    <xf numFmtId="0" fontId="6" fillId="0" borderId="0" xfId="0" applyFont="1" applyAlignment="1" applyProtection="1">
      <alignment vertical="center"/>
      <protection hidden="1"/>
    </xf>
    <xf numFmtId="0" fontId="9" fillId="0" borderId="0" xfId="0" applyFont="1" applyAlignment="1" applyProtection="1">
      <alignment vertical="center"/>
      <protection hidden="1"/>
    </xf>
    <xf numFmtId="0" fontId="11" fillId="0" borderId="0" xfId="0" applyFont="1" applyBorder="1" applyAlignment="1" applyProtection="1">
      <alignment vertical="center"/>
      <protection hidden="1"/>
    </xf>
    <xf numFmtId="0" fontId="10" fillId="0" borderId="0" xfId="0" applyFont="1" applyAlignment="1" applyProtection="1">
      <alignment vertical="center"/>
      <protection hidden="1"/>
    </xf>
    <xf numFmtId="0" fontId="12" fillId="0" borderId="0" xfId="0" applyFont="1" applyBorder="1" applyAlignment="1" applyProtection="1">
      <alignment vertical="center"/>
      <protection hidden="1"/>
    </xf>
    <xf numFmtId="0" fontId="6" fillId="0" borderId="0" xfId="0" applyFont="1" applyAlignment="1" applyProtection="1">
      <alignment horizontal="center" vertical="center"/>
      <protection hidden="1"/>
    </xf>
    <xf numFmtId="0" fontId="6" fillId="0" borderId="0" xfId="0" applyFont="1" applyFill="1" applyBorder="1" applyAlignment="1" applyProtection="1">
      <alignment vertical="center"/>
      <protection hidden="1"/>
    </xf>
    <xf numFmtId="0" fontId="8" fillId="0" borderId="0" xfId="0" applyFont="1" applyBorder="1" applyAlignment="1" applyProtection="1">
      <alignment horizontal="center" vertical="center"/>
      <protection hidden="1"/>
    </xf>
    <xf numFmtId="167" fontId="6" fillId="0" borderId="0" xfId="0" applyNumberFormat="1" applyFont="1" applyAlignment="1" applyProtection="1">
      <alignment vertical="center"/>
      <protection hidden="1"/>
    </xf>
    <xf numFmtId="0" fontId="5" fillId="0" borderId="0" xfId="0" applyFont="1" applyBorder="1" applyAlignment="1" applyProtection="1">
      <alignment vertical="center"/>
      <protection hidden="1"/>
    </xf>
    <xf numFmtId="0" fontId="7" fillId="0" borderId="0" xfId="0" applyFont="1" applyAlignment="1" applyProtection="1">
      <alignment horizontal="right" vertical="center"/>
      <protection hidden="1"/>
    </xf>
    <xf numFmtId="0" fontId="9" fillId="0" borderId="0" xfId="0" applyFont="1" applyFill="1" applyBorder="1" applyAlignment="1" applyProtection="1">
      <alignment vertical="top" wrapText="1"/>
      <protection hidden="1"/>
    </xf>
    <xf numFmtId="0" fontId="6" fillId="0" borderId="0" xfId="0" applyFont="1" applyBorder="1" applyProtection="1">
      <protection hidden="1"/>
    </xf>
    <xf numFmtId="168" fontId="6" fillId="0" borderId="0" xfId="0" applyNumberFormat="1" applyFont="1" applyAlignment="1" applyProtection="1">
      <alignment vertical="center"/>
      <protection hidden="1"/>
    </xf>
    <xf numFmtId="0" fontId="0" fillId="0" borderId="0" xfId="0" applyNumberFormat="1"/>
    <xf numFmtId="165" fontId="2" fillId="2" borderId="0" xfId="1" applyNumberFormat="1" applyFont="1" applyFill="1"/>
    <xf numFmtId="0" fontId="4" fillId="3" borderId="0" xfId="1" applyNumberFormat="1" applyFont="1" applyFill="1"/>
    <xf numFmtId="172" fontId="4" fillId="3" borderId="0" xfId="1" applyNumberFormat="1" applyFont="1" applyFill="1"/>
    <xf numFmtId="14" fontId="4" fillId="3" borderId="0" xfId="1" applyNumberFormat="1" applyFont="1" applyFill="1"/>
    <xf numFmtId="167" fontId="10" fillId="0" borderId="0" xfId="0" applyNumberFormat="1" applyFont="1" applyBorder="1" applyAlignment="1" applyProtection="1">
      <alignment vertical="center"/>
      <protection hidden="1"/>
    </xf>
    <xf numFmtId="0" fontId="10" fillId="0" borderId="0" xfId="0" applyFont="1" applyBorder="1" applyAlignment="1" applyProtection="1">
      <alignment vertical="center"/>
      <protection hidden="1"/>
    </xf>
    <xf numFmtId="0" fontId="16" fillId="0" borderId="0" xfId="0" applyFont="1" applyBorder="1" applyAlignment="1" applyProtection="1">
      <alignment horizontal="right" vertical="center"/>
      <protection hidden="1"/>
    </xf>
    <xf numFmtId="172" fontId="8" fillId="0" borderId="1" xfId="0" applyNumberFormat="1" applyFont="1" applyBorder="1" applyAlignment="1" applyProtection="1">
      <alignment horizontal="center" vertical="center" wrapText="1"/>
      <protection hidden="1"/>
    </xf>
    <xf numFmtId="0" fontId="8" fillId="0" borderId="1" xfId="0" applyFont="1" applyBorder="1" applyAlignment="1" applyProtection="1">
      <alignment horizontal="center" vertical="center" wrapText="1"/>
      <protection hidden="1"/>
    </xf>
    <xf numFmtId="0" fontId="17" fillId="0" borderId="0" xfId="0" applyFont="1" applyAlignment="1" applyProtection="1">
      <alignment horizontal="center" vertical="center" wrapText="1"/>
      <protection hidden="1"/>
    </xf>
    <xf numFmtId="0" fontId="16" fillId="0" borderId="0" xfId="0" applyFont="1" applyAlignment="1" applyProtection="1">
      <alignment horizontal="right"/>
      <protection hidden="1"/>
    </xf>
    <xf numFmtId="0" fontId="18" fillId="0" borderId="0" xfId="0" applyFont="1" applyAlignment="1" applyProtection="1">
      <alignment vertical="center"/>
      <protection hidden="1"/>
    </xf>
    <xf numFmtId="0" fontId="17" fillId="0" borderId="0" xfId="0" applyFont="1" applyBorder="1" applyAlignment="1" applyProtection="1">
      <alignment horizontal="center" vertical="center" wrapText="1"/>
      <protection hidden="1"/>
    </xf>
    <xf numFmtId="0" fontId="20" fillId="0" borderId="0" xfId="0" applyFont="1" applyAlignment="1" applyProtection="1">
      <alignment vertical="center"/>
      <protection hidden="1"/>
    </xf>
    <xf numFmtId="166" fontId="21" fillId="4" borderId="1" xfId="1" applyNumberFormat="1" applyFont="1" applyFill="1" applyBorder="1" applyAlignment="1" applyProtection="1">
      <alignment horizontal="right" vertical="center"/>
      <protection locked="0"/>
    </xf>
    <xf numFmtId="10" fontId="21" fillId="4" borderId="1" xfId="3" applyNumberFormat="1" applyFont="1" applyFill="1" applyBorder="1" applyAlignment="1" applyProtection="1">
      <alignment vertical="center"/>
      <protection hidden="1"/>
    </xf>
    <xf numFmtId="0" fontId="21" fillId="4" borderId="1" xfId="3" applyNumberFormat="1" applyFont="1" applyFill="1" applyBorder="1" applyAlignment="1" applyProtection="1">
      <alignment horizontal="right" vertical="center"/>
      <protection hidden="1"/>
    </xf>
    <xf numFmtId="166" fontId="21" fillId="4" borderId="2" xfId="1" applyNumberFormat="1" applyFont="1" applyFill="1" applyBorder="1" applyAlignment="1" applyProtection="1">
      <alignment horizontal="right" vertical="center"/>
      <protection locked="0"/>
    </xf>
    <xf numFmtId="166" fontId="21" fillId="4" borderId="1" xfId="1" applyNumberFormat="1" applyFont="1" applyFill="1" applyBorder="1" applyAlignment="1" applyProtection="1">
      <alignment horizontal="right" vertical="center"/>
      <protection hidden="1"/>
    </xf>
    <xf numFmtId="172" fontId="22" fillId="4" borderId="1" xfId="0" applyNumberFormat="1" applyFont="1" applyFill="1" applyBorder="1" applyAlignment="1" applyProtection="1">
      <alignment horizontal="center" vertical="center" wrapText="1"/>
      <protection hidden="1"/>
    </xf>
    <xf numFmtId="0" fontId="16" fillId="0" borderId="0" xfId="0" applyFont="1" applyFill="1" applyAlignment="1" applyProtection="1">
      <alignment horizontal="right" vertical="center"/>
      <protection hidden="1"/>
    </xf>
    <xf numFmtId="0" fontId="0" fillId="0" borderId="0" xfId="0" applyBorder="1"/>
    <xf numFmtId="172" fontId="14" fillId="2" borderId="0" xfId="1" applyNumberFormat="1" applyFont="1" applyFill="1" applyAlignment="1"/>
    <xf numFmtId="0" fontId="14" fillId="0" borderId="0" xfId="1" applyNumberFormat="1" applyFont="1"/>
    <xf numFmtId="0" fontId="14" fillId="0" borderId="0" xfId="1" applyNumberFormat="1" applyFont="1" applyAlignment="1">
      <alignment horizontal="left"/>
    </xf>
    <xf numFmtId="0" fontId="14" fillId="2" borderId="0" xfId="1" applyNumberFormat="1" applyFont="1" applyFill="1" applyAlignment="1"/>
    <xf numFmtId="10" fontId="14" fillId="2" borderId="0" xfId="1" applyNumberFormat="1" applyFont="1" applyFill="1" applyAlignment="1"/>
    <xf numFmtId="165" fontId="14" fillId="0" borderId="0" xfId="1" applyFont="1"/>
    <xf numFmtId="0" fontId="14" fillId="0" borderId="0" xfId="0" applyFont="1"/>
    <xf numFmtId="0" fontId="14" fillId="0" borderId="0" xfId="0" applyNumberFormat="1" applyFont="1"/>
    <xf numFmtId="0" fontId="4" fillId="3" borderId="0" xfId="1" applyNumberFormat="1" applyFont="1" applyFill="1" applyAlignment="1">
      <alignment horizontal="center"/>
    </xf>
    <xf numFmtId="170" fontId="14" fillId="2" borderId="0" xfId="1" applyNumberFormat="1" applyFont="1" applyFill="1" applyAlignment="1"/>
    <xf numFmtId="170" fontId="4" fillId="3" borderId="0" xfId="1" applyNumberFormat="1" applyFont="1" applyFill="1"/>
    <xf numFmtId="10" fontId="21" fillId="4" borderId="1" xfId="3" applyNumberFormat="1" applyFont="1" applyFill="1" applyBorder="1" applyAlignment="1" applyProtection="1">
      <alignment vertical="center"/>
      <protection locked="0" hidden="1"/>
    </xf>
    <xf numFmtId="0" fontId="21" fillId="4" borderId="1" xfId="3" applyNumberFormat="1" applyFont="1" applyFill="1" applyBorder="1" applyAlignment="1" applyProtection="1">
      <alignment horizontal="right" vertical="center"/>
      <protection locked="0" hidden="1"/>
    </xf>
    <xf numFmtId="0" fontId="23" fillId="0" borderId="0" xfId="0" applyFont="1" applyFill="1" applyBorder="1" applyAlignment="1" applyProtection="1">
      <alignment horizontal="center" vertical="center"/>
      <protection hidden="1"/>
    </xf>
    <xf numFmtId="0" fontId="0" fillId="0" borderId="0" xfId="0" applyProtection="1">
      <protection hidden="1"/>
    </xf>
    <xf numFmtId="0" fontId="13" fillId="0" borderId="0" xfId="0" applyFont="1" applyFill="1" applyBorder="1" applyAlignment="1" applyProtection="1">
      <alignment horizontal="center" vertical="top" wrapText="1"/>
      <protection hidden="1"/>
    </xf>
    <xf numFmtId="0" fontId="16" fillId="0" borderId="0" xfId="0" applyFont="1" applyBorder="1" applyAlignment="1" applyProtection="1">
      <alignment horizontal="center" vertical="center"/>
      <protection hidden="1"/>
    </xf>
    <xf numFmtId="0" fontId="28" fillId="0" borderId="0" xfId="0" applyFont="1" applyAlignment="1" applyProtection="1">
      <alignment vertical="center"/>
      <protection hidden="1"/>
    </xf>
    <xf numFmtId="0" fontId="29" fillId="0" borderId="0" xfId="0" applyFont="1" applyAlignment="1" applyProtection="1">
      <alignment vertical="center"/>
      <protection hidden="1"/>
    </xf>
    <xf numFmtId="0" fontId="30" fillId="0" borderId="0" xfId="0" applyFont="1" applyBorder="1" applyAlignment="1" applyProtection="1">
      <alignment vertical="center"/>
      <protection hidden="1"/>
    </xf>
    <xf numFmtId="165" fontId="29" fillId="0" borderId="0" xfId="0" applyNumberFormat="1" applyFont="1" applyFill="1" applyBorder="1" applyAlignment="1" applyProtection="1">
      <alignment vertical="center"/>
      <protection hidden="1"/>
    </xf>
    <xf numFmtId="0" fontId="28" fillId="0" borderId="0" xfId="0" applyFont="1" applyAlignment="1" applyProtection="1">
      <alignment horizontal="right" vertical="center"/>
      <protection hidden="1"/>
    </xf>
    <xf numFmtId="170" fontId="2" fillId="2" borderId="0" xfId="1" applyNumberFormat="1" applyFont="1" applyFill="1" applyAlignment="1">
      <alignment horizontal="center"/>
    </xf>
    <xf numFmtId="170" fontId="0" fillId="0" borderId="0" xfId="0" applyNumberFormat="1"/>
    <xf numFmtId="164" fontId="21" fillId="4" borderId="2" xfId="0" applyNumberFormat="1" applyFont="1" applyFill="1" applyBorder="1" applyAlignment="1" applyProtection="1">
      <alignment horizontal="right" vertical="center"/>
      <protection locked="0"/>
    </xf>
    <xf numFmtId="3" fontId="21" fillId="4" borderId="2" xfId="0" applyNumberFormat="1" applyFont="1" applyFill="1" applyBorder="1" applyAlignment="1" applyProtection="1">
      <alignment horizontal="right" vertical="center"/>
      <protection locked="0"/>
    </xf>
    <xf numFmtId="0" fontId="2" fillId="2" borderId="0" xfId="0" applyFont="1" applyFill="1"/>
    <xf numFmtId="172" fontId="0" fillId="0" borderId="0" xfId="0" applyNumberFormat="1"/>
    <xf numFmtId="172" fontId="14" fillId="0" borderId="0" xfId="1" applyNumberFormat="1" applyFont="1"/>
    <xf numFmtId="0" fontId="4" fillId="3" borderId="0" xfId="1" applyNumberFormat="1" applyFont="1" applyFill="1" applyBorder="1"/>
    <xf numFmtId="0" fontId="4" fillId="3" borderId="0" xfId="1" applyNumberFormat="1" applyFont="1" applyFill="1" applyBorder="1" applyAlignment="1">
      <alignment horizontal="center"/>
    </xf>
    <xf numFmtId="0" fontId="4" fillId="3" borderId="0" xfId="1" applyNumberFormat="1" applyFont="1" applyFill="1" applyAlignment="1">
      <alignment horizontal="left"/>
    </xf>
    <xf numFmtId="43" fontId="0" fillId="0" borderId="0" xfId="0" applyNumberFormat="1"/>
    <xf numFmtId="172" fontId="4" fillId="3" borderId="0" xfId="1" applyNumberFormat="1" applyFont="1" applyFill="1" applyAlignment="1">
      <alignment horizontal="right"/>
    </xf>
    <xf numFmtId="172" fontId="2" fillId="2" borderId="0" xfId="1" applyNumberFormat="1" applyFont="1" applyFill="1" applyAlignment="1">
      <alignment horizontal="right"/>
    </xf>
    <xf numFmtId="170" fontId="4" fillId="3" borderId="0" xfId="1" applyNumberFormat="1" applyFont="1" applyFill="1" applyAlignment="1">
      <alignment horizontal="right"/>
    </xf>
    <xf numFmtId="169" fontId="31" fillId="0" borderId="0" xfId="0" applyNumberFormat="1" applyFont="1" applyBorder="1" applyAlignment="1" applyProtection="1">
      <alignment vertical="center"/>
      <protection hidden="1"/>
    </xf>
    <xf numFmtId="0" fontId="32" fillId="0" borderId="0" xfId="0" applyFont="1" applyFill="1" applyBorder="1" applyAlignment="1" applyProtection="1">
      <alignment horizontal="center" vertical="center"/>
      <protection hidden="1"/>
    </xf>
    <xf numFmtId="0" fontId="33" fillId="0" borderId="0" xfId="0" applyFont="1" applyAlignment="1" applyProtection="1">
      <alignment horizontal="center" vertical="center" wrapText="1"/>
      <protection hidden="1"/>
    </xf>
    <xf numFmtId="4" fontId="24" fillId="5" borderId="0" xfId="0" applyNumberFormat="1" applyFont="1" applyFill="1" applyBorder="1" applyAlignment="1">
      <alignment horizontal="center"/>
    </xf>
    <xf numFmtId="165" fontId="2" fillId="5" borderId="0" xfId="1" applyNumberFormat="1" applyFont="1" applyFill="1"/>
    <xf numFmtId="3" fontId="24" fillId="5" borderId="0" xfId="0" applyNumberFormat="1" applyFont="1" applyFill="1" applyBorder="1" applyAlignment="1">
      <alignment horizontal="center"/>
    </xf>
    <xf numFmtId="0" fontId="4" fillId="5" borderId="0" xfId="1" applyNumberFormat="1" applyFont="1" applyFill="1" applyAlignment="1">
      <alignment horizontal="left"/>
    </xf>
    <xf numFmtId="4" fontId="24" fillId="6" borderId="0" xfId="0" applyNumberFormat="1" applyFont="1" applyFill="1" applyBorder="1" applyAlignment="1">
      <alignment horizontal="center"/>
    </xf>
    <xf numFmtId="165" fontId="2" fillId="6" borderId="0" xfId="1" applyNumberFormat="1" applyFont="1" applyFill="1"/>
    <xf numFmtId="3" fontId="24" fillId="6" borderId="0" xfId="0" applyNumberFormat="1" applyFont="1" applyFill="1" applyBorder="1" applyAlignment="1">
      <alignment horizontal="center"/>
    </xf>
    <xf numFmtId="0" fontId="4" fillId="6" borderId="0" xfId="1" applyNumberFormat="1" applyFont="1" applyFill="1" applyAlignment="1">
      <alignment horizontal="left"/>
    </xf>
    <xf numFmtId="4" fontId="24" fillId="7" borderId="0" xfId="0" applyNumberFormat="1" applyFont="1" applyFill="1" applyBorder="1" applyAlignment="1">
      <alignment horizontal="center"/>
    </xf>
    <xf numFmtId="165" fontId="2" fillId="7" borderId="0" xfId="1" applyNumberFormat="1" applyFont="1" applyFill="1"/>
    <xf numFmtId="3" fontId="24" fillId="7" borderId="0" xfId="0" applyNumberFormat="1" applyFont="1" applyFill="1" applyBorder="1" applyAlignment="1">
      <alignment horizontal="center"/>
    </xf>
    <xf numFmtId="0" fontId="4" fillId="7" borderId="0" xfId="1" applyNumberFormat="1" applyFont="1" applyFill="1" applyAlignment="1">
      <alignment horizontal="left"/>
    </xf>
    <xf numFmtId="4" fontId="24" fillId="8" borderId="0" xfId="0" applyNumberFormat="1" applyFont="1" applyFill="1" applyBorder="1" applyAlignment="1">
      <alignment horizontal="center"/>
    </xf>
    <xf numFmtId="165" fontId="2" fillId="8" borderId="0" xfId="1" applyNumberFormat="1" applyFont="1" applyFill="1"/>
    <xf numFmtId="3" fontId="24" fillId="8" borderId="0" xfId="0" applyNumberFormat="1" applyFont="1" applyFill="1" applyBorder="1" applyAlignment="1">
      <alignment horizontal="center"/>
    </xf>
    <xf numFmtId="0" fontId="4" fillId="8" borderId="0" xfId="1" applyNumberFormat="1" applyFont="1" applyFill="1" applyAlignment="1">
      <alignment horizontal="left"/>
    </xf>
    <xf numFmtId="0" fontId="14" fillId="8" borderId="0" xfId="0" applyFont="1" applyFill="1" applyAlignment="1">
      <alignment horizontal="center"/>
    </xf>
    <xf numFmtId="0" fontId="14" fillId="0" borderId="0" xfId="2" applyFont="1" applyProtection="1">
      <protection hidden="1"/>
    </xf>
    <xf numFmtId="4" fontId="34" fillId="0" borderId="0" xfId="2" applyNumberFormat="1" applyFont="1" applyProtection="1">
      <protection hidden="1"/>
    </xf>
    <xf numFmtId="14" fontId="35" fillId="5" borderId="0" xfId="2" applyNumberFormat="1" applyFont="1" applyFill="1" applyProtection="1">
      <protection hidden="1"/>
    </xf>
    <xf numFmtId="4" fontId="35" fillId="5" borderId="0" xfId="2" applyNumberFormat="1" applyFont="1" applyFill="1" applyProtection="1">
      <protection hidden="1"/>
    </xf>
    <xf numFmtId="171" fontId="2" fillId="6" borderId="0" xfId="1" applyNumberFormat="1" applyFont="1" applyFill="1"/>
    <xf numFmtId="171" fontId="2" fillId="7" borderId="0" xfId="1" applyNumberFormat="1" applyFont="1" applyFill="1"/>
    <xf numFmtId="171" fontId="2" fillId="5" borderId="0" xfId="1" applyNumberFormat="1" applyFont="1" applyFill="1"/>
    <xf numFmtId="171" fontId="2" fillId="8" borderId="0" xfId="1" applyNumberFormat="1" applyFont="1" applyFill="1"/>
    <xf numFmtId="0" fontId="36" fillId="0" borderId="7" xfId="0" applyFont="1" applyBorder="1" applyAlignment="1" applyProtection="1">
      <alignment horizontal="right" vertical="center"/>
      <protection hidden="1"/>
    </xf>
    <xf numFmtId="0" fontId="36" fillId="0" borderId="4" xfId="0" applyFont="1" applyBorder="1" applyAlignment="1" applyProtection="1">
      <alignment horizontal="right" vertical="center"/>
      <protection hidden="1"/>
    </xf>
    <xf numFmtId="0" fontId="36" fillId="0" borderId="3" xfId="0" applyFont="1" applyFill="1" applyBorder="1" applyAlignment="1" applyProtection="1">
      <alignment horizontal="right" vertical="center" wrapText="1"/>
      <protection hidden="1"/>
    </xf>
    <xf numFmtId="0" fontId="36" fillId="0" borderId="4" xfId="0" applyFont="1" applyFill="1" applyBorder="1" applyAlignment="1" applyProtection="1">
      <alignment horizontal="right" vertical="center" wrapText="1"/>
      <protection hidden="1"/>
    </xf>
    <xf numFmtId="0" fontId="32" fillId="0" borderId="0" xfId="0" applyFont="1" applyFill="1" applyBorder="1" applyAlignment="1" applyProtection="1">
      <alignment horizontal="center" vertical="center"/>
      <protection hidden="1"/>
    </xf>
    <xf numFmtId="0" fontId="33" fillId="0" borderId="0" xfId="0" applyFont="1" applyAlignment="1" applyProtection="1">
      <alignment horizontal="center" vertical="center" wrapText="1"/>
      <protection hidden="1"/>
    </xf>
    <xf numFmtId="0" fontId="15" fillId="9" borderId="0" xfId="0" applyFont="1" applyFill="1" applyBorder="1" applyAlignment="1" applyProtection="1">
      <alignment horizontal="center" vertical="center"/>
      <protection hidden="1"/>
    </xf>
    <xf numFmtId="0" fontId="27" fillId="9" borderId="1" xfId="0" applyFont="1" applyFill="1" applyBorder="1" applyAlignment="1" applyProtection="1">
      <alignment horizontal="center" vertical="center" wrapText="1"/>
      <protection hidden="1"/>
    </xf>
    <xf numFmtId="0" fontId="27" fillId="9" borderId="1" xfId="0" applyFont="1" applyFill="1" applyBorder="1" applyAlignment="1" applyProtection="1">
      <alignment horizontal="center" vertical="center"/>
      <protection hidden="1"/>
    </xf>
    <xf numFmtId="0" fontId="15" fillId="9" borderId="1" xfId="0" applyFont="1" applyFill="1" applyBorder="1" applyAlignment="1" applyProtection="1">
      <alignment horizontal="center" vertical="center"/>
      <protection hidden="1"/>
    </xf>
    <xf numFmtId="0" fontId="22" fillId="4" borderId="1" xfId="0" applyFont="1" applyFill="1" applyBorder="1" applyAlignment="1" applyProtection="1">
      <alignment horizontal="center" vertical="center" wrapText="1"/>
      <protection hidden="1"/>
    </xf>
    <xf numFmtId="0" fontId="19" fillId="10" borderId="1" xfId="0" applyFont="1" applyFill="1" applyBorder="1" applyAlignment="1" applyProtection="1">
      <alignment horizontal="right" vertical="center"/>
      <protection hidden="1"/>
    </xf>
    <xf numFmtId="0" fontId="36" fillId="0" borderId="9" xfId="0" applyFont="1" applyFill="1" applyBorder="1" applyAlignment="1" applyProtection="1">
      <alignment horizontal="right" vertical="center" wrapText="1"/>
      <protection hidden="1"/>
    </xf>
    <xf numFmtId="0" fontId="0" fillId="0" borderId="4" xfId="0" applyBorder="1"/>
    <xf numFmtId="0" fontId="36" fillId="0" borderId="5" xfId="0" applyFont="1" applyFill="1" applyBorder="1" applyAlignment="1" applyProtection="1">
      <alignment horizontal="right" vertical="center" wrapText="1"/>
      <protection hidden="1"/>
    </xf>
    <xf numFmtId="0" fontId="36" fillId="0" borderId="6" xfId="0" applyFont="1" applyFill="1" applyBorder="1" applyAlignment="1" applyProtection="1">
      <alignment horizontal="right" vertical="center" wrapText="1"/>
      <protection hidden="1"/>
    </xf>
    <xf numFmtId="0" fontId="36" fillId="0" borderId="7" xfId="0" applyFont="1" applyFill="1" applyBorder="1" applyAlignment="1" applyProtection="1">
      <alignment horizontal="right" vertical="center" wrapText="1"/>
      <protection hidden="1"/>
    </xf>
    <xf numFmtId="0" fontId="20" fillId="0" borderId="8" xfId="0" applyFont="1" applyBorder="1" applyAlignment="1" applyProtection="1">
      <alignment horizontal="justify" vertical="justify"/>
      <protection hidden="1"/>
    </xf>
    <xf numFmtId="0" fontId="20" fillId="0" borderId="0" xfId="0" applyFont="1" applyAlignment="1" applyProtection="1">
      <alignment horizontal="justify" vertical="justify"/>
      <protection hidden="1"/>
    </xf>
  </cellXfs>
  <cellStyles count="4">
    <cellStyle name="Millares" xfId="1" builtinId="3"/>
    <cellStyle name="Normal" xfId="0" builtinId="0"/>
    <cellStyle name="Normal 2" xfId="2"/>
    <cellStyle name="Porcentaje" xfId="3" builtinId="5"/>
  </cellStyles>
  <dxfs count="2">
    <dxf>
      <font>
        <b/>
        <i val="0"/>
        <condense val="0"/>
        <extend val="0"/>
        <color indexed="10"/>
      </font>
    </dxf>
    <dxf>
      <font>
        <b/>
        <i val="0"/>
        <condense val="0"/>
        <extend val="0"/>
        <color indexed="12"/>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cid:image001.gif@01C89FA5.D1F20AE0"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123825</xdr:colOff>
      <xdr:row>0</xdr:row>
      <xdr:rowOff>104775</xdr:rowOff>
    </xdr:from>
    <xdr:to>
      <xdr:col>1</xdr:col>
      <xdr:colOff>152400</xdr:colOff>
      <xdr:row>3</xdr:row>
      <xdr:rowOff>104775</xdr:rowOff>
    </xdr:to>
    <xdr:pic>
      <xdr:nvPicPr>
        <xdr:cNvPr id="18525" name="Picture 103" descr="cid:image001.gif@01C89FA5.D1F20AE0"/>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123825" y="104775"/>
          <a:ext cx="192405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
  <dimension ref="A1:CP26"/>
  <sheetViews>
    <sheetView showGridLines="0" showRowColHeaders="0" tabSelected="1" zoomScale="75" zoomScaleNormal="75" workbookViewId="0">
      <selection activeCell="D14" sqref="D14"/>
    </sheetView>
  </sheetViews>
  <sheetFormatPr baseColWidth="10" defaultColWidth="3.28515625" defaultRowHeight="0" customHeight="1" zeroHeight="1" x14ac:dyDescent="0.2"/>
  <cols>
    <col min="1" max="1" width="28.42578125" style="1" customWidth="1"/>
    <col min="2" max="2" width="40.28515625" style="1" customWidth="1"/>
    <col min="3" max="3" width="45.140625" style="14" customWidth="1"/>
    <col min="4" max="4" width="55.7109375" style="1" customWidth="1"/>
    <col min="5" max="5" width="17" style="1" customWidth="1"/>
    <col min="6" max="6" width="17.140625" style="1" customWidth="1"/>
    <col min="7" max="7" width="11" style="1" hidden="1" customWidth="1"/>
    <col min="8" max="8" width="3.7109375" style="1" hidden="1" customWidth="1"/>
    <col min="9" max="94" width="11.42578125" style="1" hidden="1" customWidth="1"/>
    <col min="95" max="254" width="11.42578125" style="1" customWidth="1"/>
    <col min="255" max="255" width="2.85546875" style="1" customWidth="1"/>
    <col min="256" max="16384" width="3.28515625" style="1"/>
  </cols>
  <sheetData>
    <row r="1" spans="1:7" s="2" customFormat="1" ht="16.5" customHeight="1" x14ac:dyDescent="0.2"/>
    <row r="2" spans="1:7" s="2" customFormat="1" ht="17.25" customHeight="1" x14ac:dyDescent="0.2">
      <c r="A2" s="107" t="s">
        <v>19</v>
      </c>
      <c r="B2" s="107"/>
      <c r="C2" s="107"/>
      <c r="D2" s="107"/>
      <c r="E2" s="107"/>
      <c r="F2" s="107"/>
      <c r="G2" s="107"/>
    </row>
    <row r="3" spans="1:7" s="2" customFormat="1" ht="8.25" customHeight="1" x14ac:dyDescent="0.2">
      <c r="A3" s="76"/>
      <c r="B3" s="76"/>
      <c r="C3" s="76"/>
      <c r="D3" s="76"/>
      <c r="E3" s="76"/>
      <c r="F3" s="76"/>
      <c r="G3" s="76"/>
    </row>
    <row r="4" spans="1:7" s="2" customFormat="1" ht="12.75" customHeight="1" x14ac:dyDescent="0.2">
      <c r="A4" s="108" t="s">
        <v>39</v>
      </c>
      <c r="B4" s="108"/>
      <c r="C4" s="108"/>
      <c r="D4" s="108"/>
      <c r="E4" s="108"/>
      <c r="F4" s="108"/>
      <c r="G4" s="108"/>
    </row>
    <row r="5" spans="1:7" s="2" customFormat="1" ht="12.75" customHeight="1" x14ac:dyDescent="0.2">
      <c r="A5" s="77"/>
      <c r="B5" s="77"/>
      <c r="C5" s="77"/>
      <c r="D5" s="77"/>
      <c r="E5" s="77"/>
      <c r="F5" s="77"/>
      <c r="G5" s="77"/>
    </row>
    <row r="6" spans="1:7" s="2" customFormat="1" ht="9" customHeight="1" x14ac:dyDescent="0.2">
      <c r="A6" s="26"/>
      <c r="B6" s="29"/>
      <c r="C6" s="29"/>
      <c r="D6" s="26"/>
      <c r="E6" s="1"/>
      <c r="F6" s="1"/>
      <c r="G6" s="29"/>
    </row>
    <row r="7" spans="1:7" s="2" customFormat="1" ht="24" customHeight="1" x14ac:dyDescent="0.3">
      <c r="A7" s="23"/>
      <c r="B7" s="28"/>
      <c r="C7" s="28"/>
      <c r="D7" s="27"/>
      <c r="E7" s="55"/>
      <c r="F7" s="55"/>
      <c r="G7" s="4"/>
    </row>
    <row r="8" spans="1:7" s="2" customFormat="1" ht="24" customHeight="1" thickBot="1" x14ac:dyDescent="0.25">
      <c r="B8" s="109" t="s">
        <v>14</v>
      </c>
      <c r="C8" s="109"/>
      <c r="D8" s="109"/>
      <c r="E8" s="37"/>
      <c r="F8" s="37"/>
      <c r="G8" s="52"/>
    </row>
    <row r="9" spans="1:7" s="5" customFormat="1" ht="20.25" thickTop="1" thickBot="1" x14ac:dyDescent="0.25">
      <c r="A9" s="21"/>
      <c r="B9" s="103" t="s">
        <v>13</v>
      </c>
      <c r="C9" s="104"/>
      <c r="D9" s="32">
        <f>IF(OR(D10="",D10=0),29%,IF(D10&gt;29%,"Verificar el plazo promocional",D10))</f>
        <v>0.28999999999999998</v>
      </c>
      <c r="E9" s="4"/>
      <c r="F9" s="4"/>
      <c r="G9" s="4"/>
    </row>
    <row r="10" spans="1:7" s="5" customFormat="1" ht="20.25" hidden="1" thickTop="1" thickBot="1" x14ac:dyDescent="0.25">
      <c r="A10" s="21"/>
      <c r="B10" s="103" t="s">
        <v>23</v>
      </c>
      <c r="C10" s="104"/>
      <c r="D10" s="50"/>
      <c r="E10" s="4"/>
      <c r="F10" s="4"/>
      <c r="G10" s="4"/>
    </row>
    <row r="11" spans="1:7" s="2" customFormat="1" ht="20.25" thickTop="1" thickBot="1" x14ac:dyDescent="0.25">
      <c r="A11" s="22"/>
      <c r="B11" s="103" t="s">
        <v>21</v>
      </c>
      <c r="C11" s="104"/>
      <c r="D11" s="33">
        <f>IF(OR(D12="",D12=0),36,IF(D12&gt;36,"Verificar el plazo promocional",D12))</f>
        <v>36</v>
      </c>
    </row>
    <row r="12" spans="1:7" s="2" customFormat="1" ht="20.25" hidden="1" thickTop="1" thickBot="1" x14ac:dyDescent="0.25">
      <c r="A12" s="6"/>
      <c r="B12" s="103" t="s">
        <v>22</v>
      </c>
      <c r="C12" s="104"/>
      <c r="D12" s="51"/>
    </row>
    <row r="13" spans="1:7" ht="24" customHeight="1" thickTop="1" thickBot="1" x14ac:dyDescent="0.25">
      <c r="A13" s="7"/>
      <c r="B13" s="109" t="s">
        <v>16</v>
      </c>
      <c r="C13" s="109"/>
      <c r="D13" s="109"/>
      <c r="E13" s="7"/>
      <c r="F13" s="7"/>
      <c r="G13" s="7"/>
    </row>
    <row r="14" spans="1:7" s="2" customFormat="1" ht="18.75" customHeight="1" thickTop="1" thickBot="1" x14ac:dyDescent="0.25">
      <c r="B14" s="115" t="s">
        <v>62</v>
      </c>
      <c r="C14" s="115"/>
      <c r="D14" s="31"/>
      <c r="E14" s="30" t="s">
        <v>18</v>
      </c>
      <c r="F14" s="30"/>
      <c r="G14" s="56">
        <f>+Factor!C2</f>
        <v>1000000</v>
      </c>
    </row>
    <row r="15" spans="1:7" s="2" customFormat="1" ht="20.25" customHeight="1" thickTop="1" thickBot="1" x14ac:dyDescent="0.25">
      <c r="B15" s="105" t="s">
        <v>66</v>
      </c>
      <c r="C15" s="106"/>
      <c r="D15" s="34"/>
      <c r="E15" s="30"/>
      <c r="F15" s="30"/>
      <c r="G15" s="57"/>
    </row>
    <row r="16" spans="1:7" s="2" customFormat="1" ht="20.25" thickTop="1" thickBot="1" x14ac:dyDescent="0.25">
      <c r="A16" s="1"/>
      <c r="B16" s="105" t="s">
        <v>61</v>
      </c>
      <c r="C16" s="116"/>
      <c r="D16" s="34"/>
      <c r="E16" s="30" t="s">
        <v>18</v>
      </c>
      <c r="F16" s="30"/>
      <c r="G16" s="58"/>
    </row>
    <row r="17" spans="1:7" ht="20.25" thickTop="1" thickBot="1" x14ac:dyDescent="0.25">
      <c r="A17" s="8"/>
      <c r="B17" s="117" t="s">
        <v>15</v>
      </c>
      <c r="C17" s="118"/>
      <c r="D17" s="64"/>
      <c r="E17" s="30" t="s">
        <v>18</v>
      </c>
      <c r="F17" s="30"/>
      <c r="G17" s="59"/>
    </row>
    <row r="18" spans="1:7" ht="20.25" thickTop="1" thickBot="1" x14ac:dyDescent="0.25">
      <c r="A18" s="8"/>
      <c r="B18" s="119" t="s">
        <v>30</v>
      </c>
      <c r="C18" s="106"/>
      <c r="D18" s="63"/>
      <c r="E18" s="30" t="s">
        <v>18</v>
      </c>
      <c r="F18" s="30"/>
      <c r="G18" s="60" t="s">
        <v>37</v>
      </c>
    </row>
    <row r="19" spans="1:7" ht="20.25" hidden="1" thickTop="1" thickBot="1" x14ac:dyDescent="0.25">
      <c r="A19" s="10"/>
      <c r="B19" s="114" t="s">
        <v>5</v>
      </c>
      <c r="C19" s="114"/>
      <c r="D19" s="35">
        <f>+Factor!B76</f>
        <v>0</v>
      </c>
      <c r="E19" s="15"/>
      <c r="F19" s="15"/>
      <c r="G19" s="60" t="s">
        <v>38</v>
      </c>
    </row>
    <row r="20" spans="1:7" s="3" customFormat="1" ht="17.25" hidden="1" customHeight="1" thickTop="1" thickBot="1" x14ac:dyDescent="0.25">
      <c r="A20" s="9"/>
      <c r="B20" s="114" t="s">
        <v>2</v>
      </c>
      <c r="C20" s="114"/>
      <c r="D20" s="35">
        <f>+Factor!B66</f>
        <v>0</v>
      </c>
      <c r="G20" s="57"/>
    </row>
    <row r="21" spans="1:7" s="3" customFormat="1" ht="19.5" thickTop="1" thickBot="1" x14ac:dyDescent="0.25">
      <c r="A21" s="2"/>
      <c r="B21" s="112" t="s">
        <v>20</v>
      </c>
      <c r="C21" s="112"/>
      <c r="D21" s="112"/>
      <c r="E21" s="2"/>
      <c r="F21" s="2"/>
      <c r="G21" s="57"/>
    </row>
    <row r="22" spans="1:7" s="2" customFormat="1" ht="49.5" customHeight="1" thickTop="1" thickBot="1" x14ac:dyDescent="0.25">
      <c r="A22" s="10"/>
      <c r="B22" s="113" t="str">
        <f>+IF(OR(D14="",D16="",D17="",D18=""),"",IF(OR(Factor!B66&lt;=0,Factor!B76&lt;=0,Factor!B80&lt;=0),"Capacidad de Pago Insuficiente",Factor!B88))</f>
        <v/>
      </c>
      <c r="C22" s="113"/>
      <c r="D22" s="36" t="str">
        <f>+IF(OR(D14="",D16="",D17="",D18="",B22="Capacidad de Pago Insuficiente",B22="Sin capacidad para endeudamientos adicionales"),"",Factor!C88)</f>
        <v/>
      </c>
      <c r="E22" s="120" t="s">
        <v>64</v>
      </c>
      <c r="F22" s="121"/>
    </row>
    <row r="23" spans="1:7" s="2" customFormat="1" ht="21.75" thickTop="1" thickBot="1" x14ac:dyDescent="0.25">
      <c r="A23" s="10"/>
      <c r="B23" s="25"/>
      <c r="C23" s="25"/>
      <c r="D23" s="24"/>
    </row>
    <row r="24" spans="1:7" s="2" customFormat="1" ht="24" customHeight="1" thickTop="1" thickBot="1" x14ac:dyDescent="0.25">
      <c r="A24" s="13"/>
      <c r="B24" s="11"/>
      <c r="C24" s="12"/>
      <c r="D24" s="75">
        <f ca="1">TODAY()</f>
        <v>43243</v>
      </c>
      <c r="E24" s="13"/>
      <c r="F24" s="13"/>
      <c r="G24" s="13"/>
    </row>
    <row r="25" spans="1:7" s="2" customFormat="1" ht="19.5" thickTop="1" thickBot="1" x14ac:dyDescent="0.25">
      <c r="A25" s="13"/>
      <c r="B25" s="110" t="s">
        <v>63</v>
      </c>
      <c r="C25" s="111"/>
      <c r="D25" s="111"/>
      <c r="E25" s="13"/>
      <c r="F25" s="13"/>
      <c r="G25" s="13"/>
    </row>
    <row r="26" spans="1:7" s="2" customFormat="1" ht="23.25" customHeight="1" thickTop="1" x14ac:dyDescent="0.2">
      <c r="A26" s="13"/>
      <c r="B26" s="53"/>
      <c r="C26" s="54"/>
      <c r="D26" s="54"/>
      <c r="E26" s="13"/>
      <c r="F26" s="13"/>
    </row>
  </sheetData>
  <sheetProtection password="CB1F" sheet="1" objects="1" scenarios="1" selectLockedCells="1"/>
  <dataConsolidate/>
  <mergeCells count="19">
    <mergeCell ref="E22:F22"/>
    <mergeCell ref="B9:C9"/>
    <mergeCell ref="B10:C10"/>
    <mergeCell ref="B25:D25"/>
    <mergeCell ref="B13:D13"/>
    <mergeCell ref="B21:D21"/>
    <mergeCell ref="B22:C22"/>
    <mergeCell ref="B19:C19"/>
    <mergeCell ref="B20:C20"/>
    <mergeCell ref="B14:C14"/>
    <mergeCell ref="B16:C16"/>
    <mergeCell ref="B17:C17"/>
    <mergeCell ref="B18:C18"/>
    <mergeCell ref="B11:C11"/>
    <mergeCell ref="B12:C12"/>
    <mergeCell ref="B15:C15"/>
    <mergeCell ref="A2:G2"/>
    <mergeCell ref="A4:G4"/>
    <mergeCell ref="B8:D8"/>
  </mergeCells>
  <phoneticPr fontId="3" type="noConversion"/>
  <conditionalFormatting sqref="A20">
    <cfRule type="cellIs" dxfId="1" priority="14" stopIfTrue="1" operator="equal">
      <formula>"""Nivel de ingreso SATISFACTORIO para Crédito solicitado"""</formula>
    </cfRule>
  </conditionalFormatting>
  <conditionalFormatting sqref="B22:C22">
    <cfRule type="expression" dxfId="0" priority="21" stopIfTrue="1">
      <formula>OR($B$22="Capacidad de Pago Insuficiente",$B$22="Sin capacidad para endeudamientos adicionales")</formula>
    </cfRule>
  </conditionalFormatting>
  <dataValidations xWindow="652" yWindow="589" count="5">
    <dataValidation type="decimal" allowBlank="1" showErrorMessage="1" errorTitle="Error en Valor Ingresado" error="Ingreso Familiar Mensual fuera de los parametros de salario mínimo establecidos para este producto." sqref="D14">
      <formula1>G14</formula1>
      <formula2>99999999999.99</formula2>
    </dataValidation>
    <dataValidation type="whole" allowBlank="1" showErrorMessage="1" errorTitle="Error en Valor Ingresado" error="Por favor verifique el valor ingresado, el cual debe ser igual o mayor a 0_x000a_" promptTitle="Carga Familiar no incluye al Sol" sqref="D17">
      <formula1>0</formula1>
      <formula2>99</formula2>
    </dataValidation>
    <dataValidation type="decimal" allowBlank="1" showErrorMessage="1" errorTitle="Error en Valor Ingresado" error="Por favor verifique el valor ingresado, el cual debe ser igual o mayor a 0" sqref="D15:D16">
      <formula1>0</formula1>
      <formula2>99999999999.99</formula2>
    </dataValidation>
    <dataValidation allowBlank="1" showInputMessage="1" showErrorMessage="1" errorTitle="¡ERROR!" error="El N° de cuotas a ingresar para &quot;Adq. de Vivienda&quot; debe estar entre 121 y 300, para &quot;Remodelación&quot; debe estar entre 12 y 120, para &quot;Autoconstrucción&quot; debe estar entre 12 y 240, y para &quot;Ampliación&quot; debe estar entre 12 y 180." sqref="G8"/>
    <dataValidation type="list" allowBlank="1" showErrorMessage="1" error="_x000a_" promptTitle="Carga Familiar no incluye al Sol" sqref="D18">
      <formula1>$G$18:$G$19</formula1>
    </dataValidation>
  </dataValidations>
  <printOptions horizontalCentered="1"/>
  <pageMargins left="0.196850393700787" right="0" top="0.34055118099999998" bottom="0.39370078740157499" header="0" footer="0"/>
  <pageSetup scale="50" orientation="portrait" r:id="rId1"/>
  <headerFooter alignWithMargins="0">
    <oddHeader>&amp;R&amp;"Tahoma,Negrita Cursiva"&amp;12Fecha de emisión: &amp;D</oddHeader>
  </headerFooter>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J88"/>
  <sheetViews>
    <sheetView topLeftCell="A17" zoomScale="80" zoomScaleNormal="80" workbookViewId="0">
      <selection activeCell="B34" sqref="B34"/>
    </sheetView>
  </sheetViews>
  <sheetFormatPr baseColWidth="10" defaultRowHeight="12.75" x14ac:dyDescent="0.2"/>
  <cols>
    <col min="1" max="1" width="60.85546875" bestFit="1" customWidth="1"/>
    <col min="2" max="2" width="20.5703125" customWidth="1"/>
    <col min="3" max="3" width="22.42578125" customWidth="1"/>
    <col min="4" max="4" width="21.5703125" bestFit="1" customWidth="1"/>
    <col min="5" max="6" width="17.5703125" bestFit="1" customWidth="1"/>
    <col min="7" max="7" width="15.85546875" customWidth="1"/>
    <col min="8" max="8" width="16.42578125" bestFit="1" customWidth="1"/>
    <col min="9" max="9" width="15.42578125" bestFit="1" customWidth="1"/>
    <col min="10" max="10" width="16.140625" bestFit="1" customWidth="1"/>
  </cols>
  <sheetData>
    <row r="1" spans="1:10" x14ac:dyDescent="0.2">
      <c r="A1" s="18" t="s">
        <v>27</v>
      </c>
      <c r="B1" s="20">
        <f ca="1">+TODAY()</f>
        <v>43243</v>
      </c>
      <c r="C1" s="19">
        <v>1000</v>
      </c>
      <c r="D1">
        <v>6.3</v>
      </c>
      <c r="E1" s="95"/>
      <c r="F1" s="96">
        <v>6746.98</v>
      </c>
    </row>
    <row r="2" spans="1:10" x14ac:dyDescent="0.2">
      <c r="A2" s="18" t="s">
        <v>65</v>
      </c>
      <c r="B2" s="20">
        <f ca="1">+TODAY()</f>
        <v>43243</v>
      </c>
      <c r="C2" s="19">
        <v>1000000</v>
      </c>
      <c r="E2" s="97">
        <v>42186</v>
      </c>
      <c r="F2" s="98">
        <v>7421.68</v>
      </c>
    </row>
    <row r="3" spans="1:10" x14ac:dyDescent="0.2">
      <c r="A3" s="18" t="s">
        <v>17</v>
      </c>
      <c r="B3" s="20">
        <f ca="1">+B2</f>
        <v>43243</v>
      </c>
      <c r="C3" s="19">
        <v>850</v>
      </c>
    </row>
    <row r="4" spans="1:10" x14ac:dyDescent="0.2">
      <c r="A4" s="18" t="s">
        <v>34</v>
      </c>
      <c r="B4" s="20">
        <f ca="1">+B3</f>
        <v>43243</v>
      </c>
      <c r="C4" s="49">
        <v>10</v>
      </c>
    </row>
    <row r="6" spans="1:10" x14ac:dyDescent="0.2">
      <c r="A6" s="18" t="s">
        <v>42</v>
      </c>
    </row>
    <row r="7" spans="1:10" x14ac:dyDescent="0.2">
      <c r="A7" s="18" t="s">
        <v>35</v>
      </c>
      <c r="B7" s="18" t="s">
        <v>40</v>
      </c>
      <c r="C7" s="18" t="s">
        <v>41</v>
      </c>
    </row>
    <row r="8" spans="1:10" x14ac:dyDescent="0.2">
      <c r="A8" s="18" t="s">
        <v>24</v>
      </c>
      <c r="B8" s="84">
        <f>+E15</f>
        <v>300</v>
      </c>
      <c r="C8" s="84">
        <f>+F17</f>
        <v>2600</v>
      </c>
    </row>
    <row r="9" spans="1:10" x14ac:dyDescent="0.2">
      <c r="A9" s="18" t="s">
        <v>36</v>
      </c>
      <c r="B9" s="88">
        <f>+E18</f>
        <v>2601</v>
      </c>
      <c r="C9" s="88">
        <f>+F24</f>
        <v>7900</v>
      </c>
    </row>
    <row r="10" spans="1:10" x14ac:dyDescent="0.2">
      <c r="A10" s="18" t="s">
        <v>25</v>
      </c>
      <c r="B10" s="80">
        <f>+E25</f>
        <v>7901</v>
      </c>
      <c r="C10" s="80">
        <f>+F30</f>
        <v>46600</v>
      </c>
    </row>
    <row r="11" spans="1:10" x14ac:dyDescent="0.2">
      <c r="A11" s="18" t="s">
        <v>26</v>
      </c>
      <c r="B11" s="92">
        <f>+E31</f>
        <v>46601</v>
      </c>
      <c r="C11" s="92" t="s">
        <v>60</v>
      </c>
    </row>
    <row r="13" spans="1:10" x14ac:dyDescent="0.2">
      <c r="A13" s="68" t="s">
        <v>43</v>
      </c>
      <c r="B13" s="38"/>
      <c r="C13" s="38"/>
      <c r="D13" s="38"/>
      <c r="E13" s="38"/>
    </row>
    <row r="14" spans="1:10" x14ac:dyDescent="0.2">
      <c r="A14" s="69" t="s">
        <v>44</v>
      </c>
      <c r="B14" s="69" t="s">
        <v>45</v>
      </c>
      <c r="C14" s="69" t="s">
        <v>54</v>
      </c>
      <c r="D14" s="69" t="s">
        <v>46</v>
      </c>
      <c r="E14" s="47" t="s">
        <v>40</v>
      </c>
      <c r="F14" s="47" t="s">
        <v>41</v>
      </c>
      <c r="G14" s="69" t="s">
        <v>55</v>
      </c>
      <c r="H14" s="69" t="s">
        <v>56</v>
      </c>
      <c r="I14" s="47" t="s">
        <v>57</v>
      </c>
      <c r="J14" s="70" t="s">
        <v>35</v>
      </c>
    </row>
    <row r="15" spans="1:10" x14ac:dyDescent="0.2">
      <c r="A15" s="82">
        <v>4500</v>
      </c>
      <c r="B15" s="82">
        <v>16000</v>
      </c>
      <c r="C15" s="83">
        <f>+B15-A15</f>
        <v>11500</v>
      </c>
      <c r="D15" s="83"/>
      <c r="E15" s="84">
        <v>300</v>
      </c>
      <c r="F15" s="84">
        <v>767</v>
      </c>
      <c r="G15" s="83">
        <f>+F15-E15</f>
        <v>467</v>
      </c>
      <c r="H15" s="99">
        <f>+G15/C15</f>
        <v>4.0608695652173912E-2</v>
      </c>
      <c r="I15" s="83" t="str">
        <f t="shared" ref="I15:I25" si="0">IF(AND($C$83&gt;=E15,$C$83&lt;=F15),$C$83,"")</f>
        <v/>
      </c>
      <c r="J15" s="85" t="s">
        <v>24</v>
      </c>
    </row>
    <row r="16" spans="1:10" x14ac:dyDescent="0.2">
      <c r="A16" s="82">
        <v>16001</v>
      </c>
      <c r="B16" s="82">
        <v>27501</v>
      </c>
      <c r="C16" s="83">
        <f t="shared" ref="C16:C42" si="1">+B16-A16</f>
        <v>11500</v>
      </c>
      <c r="D16" s="83"/>
      <c r="E16" s="84">
        <v>768</v>
      </c>
      <c r="F16" s="84">
        <v>1535</v>
      </c>
      <c r="G16" s="83">
        <f t="shared" ref="G16:G42" si="2">+F16-E16</f>
        <v>767</v>
      </c>
      <c r="H16" s="99">
        <f t="shared" ref="H16:H42" si="3">+G16/C16</f>
        <v>6.6695652173913045E-2</v>
      </c>
      <c r="I16" s="83" t="str">
        <f t="shared" si="0"/>
        <v/>
      </c>
      <c r="J16" s="85" t="s">
        <v>24</v>
      </c>
    </row>
    <row r="17" spans="1:10" x14ac:dyDescent="0.2">
      <c r="A17" s="82">
        <v>27502</v>
      </c>
      <c r="B17" s="82">
        <v>39000</v>
      </c>
      <c r="C17" s="83">
        <f t="shared" si="1"/>
        <v>11498</v>
      </c>
      <c r="D17" s="83"/>
      <c r="E17" s="84">
        <v>1536</v>
      </c>
      <c r="F17" s="84">
        <v>2600</v>
      </c>
      <c r="G17" s="83">
        <f t="shared" si="2"/>
        <v>1064</v>
      </c>
      <c r="H17" s="99">
        <f t="shared" si="3"/>
        <v>9.2537832666550704E-2</v>
      </c>
      <c r="I17" s="83" t="str">
        <f t="shared" si="0"/>
        <v/>
      </c>
      <c r="J17" s="85" t="s">
        <v>24</v>
      </c>
    </row>
    <row r="18" spans="1:10" x14ac:dyDescent="0.2">
      <c r="A18" s="86">
        <v>39001</v>
      </c>
      <c r="B18" s="86">
        <v>50358</v>
      </c>
      <c r="C18" s="87">
        <f t="shared" si="1"/>
        <v>11357</v>
      </c>
      <c r="D18" s="87"/>
      <c r="E18" s="88">
        <v>2601</v>
      </c>
      <c r="F18" s="88">
        <v>3358</v>
      </c>
      <c r="G18" s="87">
        <f t="shared" si="2"/>
        <v>757</v>
      </c>
      <c r="H18" s="100">
        <f t="shared" si="3"/>
        <v>6.6654926477062601E-2</v>
      </c>
      <c r="I18" s="87" t="str">
        <f t="shared" si="0"/>
        <v/>
      </c>
      <c r="J18" s="89" t="s">
        <v>36</v>
      </c>
    </row>
    <row r="19" spans="1:10" x14ac:dyDescent="0.2">
      <c r="A19" s="86">
        <v>50359</v>
      </c>
      <c r="B19" s="86">
        <v>61716</v>
      </c>
      <c r="C19" s="87">
        <f t="shared" si="1"/>
        <v>11357</v>
      </c>
      <c r="D19" s="87"/>
      <c r="E19" s="88">
        <v>3359</v>
      </c>
      <c r="F19" s="88">
        <v>4116</v>
      </c>
      <c r="G19" s="87">
        <f t="shared" si="2"/>
        <v>757</v>
      </c>
      <c r="H19" s="100">
        <f t="shared" si="3"/>
        <v>6.6654926477062601E-2</v>
      </c>
      <c r="I19" s="87" t="str">
        <f t="shared" si="0"/>
        <v/>
      </c>
      <c r="J19" s="89" t="s">
        <v>36</v>
      </c>
    </row>
    <row r="20" spans="1:10" x14ac:dyDescent="0.2">
      <c r="A20" s="86">
        <v>61717</v>
      </c>
      <c r="B20" s="86">
        <v>73074</v>
      </c>
      <c r="C20" s="87">
        <f t="shared" si="1"/>
        <v>11357</v>
      </c>
      <c r="D20" s="87"/>
      <c r="E20" s="88">
        <v>4117</v>
      </c>
      <c r="F20" s="88">
        <v>4874</v>
      </c>
      <c r="G20" s="87">
        <f t="shared" si="2"/>
        <v>757</v>
      </c>
      <c r="H20" s="100">
        <f t="shared" si="3"/>
        <v>6.6654926477062601E-2</v>
      </c>
      <c r="I20" s="87" t="str">
        <f t="shared" si="0"/>
        <v/>
      </c>
      <c r="J20" s="89" t="s">
        <v>36</v>
      </c>
    </row>
    <row r="21" spans="1:10" x14ac:dyDescent="0.2">
      <c r="A21" s="86">
        <v>73075</v>
      </c>
      <c r="B21" s="86">
        <v>84432</v>
      </c>
      <c r="C21" s="87">
        <f t="shared" si="1"/>
        <v>11357</v>
      </c>
      <c r="D21" s="87"/>
      <c r="E21" s="88">
        <v>4875</v>
      </c>
      <c r="F21" s="88">
        <v>5632</v>
      </c>
      <c r="G21" s="87">
        <f t="shared" si="2"/>
        <v>757</v>
      </c>
      <c r="H21" s="100">
        <f t="shared" si="3"/>
        <v>6.6654926477062601E-2</v>
      </c>
      <c r="I21" s="87" t="str">
        <f t="shared" si="0"/>
        <v/>
      </c>
      <c r="J21" s="89" t="s">
        <v>36</v>
      </c>
    </row>
    <row r="22" spans="1:10" x14ac:dyDescent="0.2">
      <c r="A22" s="86">
        <v>84433</v>
      </c>
      <c r="B22" s="86">
        <v>95790</v>
      </c>
      <c r="C22" s="87">
        <f t="shared" si="1"/>
        <v>11357</v>
      </c>
      <c r="D22" s="87"/>
      <c r="E22" s="88">
        <v>5633</v>
      </c>
      <c r="F22" s="88">
        <v>6390</v>
      </c>
      <c r="G22" s="87">
        <f t="shared" si="2"/>
        <v>757</v>
      </c>
      <c r="H22" s="100">
        <f t="shared" si="3"/>
        <v>6.6654926477062601E-2</v>
      </c>
      <c r="I22" s="87" t="str">
        <f t="shared" si="0"/>
        <v/>
      </c>
      <c r="J22" s="89" t="s">
        <v>36</v>
      </c>
    </row>
    <row r="23" spans="1:10" x14ac:dyDescent="0.2">
      <c r="A23" s="86">
        <v>95791</v>
      </c>
      <c r="B23" s="86">
        <v>107148</v>
      </c>
      <c r="C23" s="87">
        <f t="shared" si="1"/>
        <v>11357</v>
      </c>
      <c r="D23" s="87"/>
      <c r="E23" s="88">
        <v>6391</v>
      </c>
      <c r="F23" s="88">
        <v>7148</v>
      </c>
      <c r="G23" s="87">
        <f t="shared" si="2"/>
        <v>757</v>
      </c>
      <c r="H23" s="100">
        <f t="shared" si="3"/>
        <v>6.6654926477062601E-2</v>
      </c>
      <c r="I23" s="87" t="str">
        <f t="shared" si="0"/>
        <v/>
      </c>
      <c r="J23" s="89" t="s">
        <v>36</v>
      </c>
    </row>
    <row r="24" spans="1:10" x14ac:dyDescent="0.2">
      <c r="A24" s="86">
        <v>107149</v>
      </c>
      <c r="B24" s="86">
        <v>118500</v>
      </c>
      <c r="C24" s="87">
        <f t="shared" si="1"/>
        <v>11351</v>
      </c>
      <c r="D24" s="87"/>
      <c r="E24" s="88">
        <v>7149</v>
      </c>
      <c r="F24" s="88">
        <v>7900</v>
      </c>
      <c r="G24" s="87">
        <f t="shared" si="2"/>
        <v>751</v>
      </c>
      <c r="H24" s="100">
        <f t="shared" si="3"/>
        <v>6.6161571667694472E-2</v>
      </c>
      <c r="I24" s="87" t="str">
        <f t="shared" si="0"/>
        <v/>
      </c>
      <c r="J24" s="89" t="s">
        <v>36</v>
      </c>
    </row>
    <row r="25" spans="1:10" x14ac:dyDescent="0.2">
      <c r="A25" s="78">
        <v>118501</v>
      </c>
      <c r="B25" s="78">
        <v>215250.83333333331</v>
      </c>
      <c r="C25" s="79">
        <f t="shared" si="1"/>
        <v>96749.833333333314</v>
      </c>
      <c r="D25" s="79"/>
      <c r="E25" s="80">
        <v>7901</v>
      </c>
      <c r="F25" s="80">
        <v>14350.833333333332</v>
      </c>
      <c r="G25" s="79">
        <f t="shared" si="2"/>
        <v>6449.8333333333321</v>
      </c>
      <c r="H25" s="101">
        <f t="shared" si="3"/>
        <v>6.6665058854537218E-2</v>
      </c>
      <c r="I25" s="79" t="str">
        <f t="shared" si="0"/>
        <v/>
      </c>
      <c r="J25" s="81" t="s">
        <v>25</v>
      </c>
    </row>
    <row r="26" spans="1:10" x14ac:dyDescent="0.2">
      <c r="A26" s="78">
        <v>215251.83333333331</v>
      </c>
      <c r="B26" s="78">
        <v>312001.66666666663</v>
      </c>
      <c r="C26" s="79">
        <f t="shared" si="1"/>
        <v>96749.833333333314</v>
      </c>
      <c r="D26" s="79"/>
      <c r="E26" s="80">
        <v>14351.833333333332</v>
      </c>
      <c r="F26" s="80">
        <v>20801.666666666664</v>
      </c>
      <c r="G26" s="79">
        <f t="shared" si="2"/>
        <v>6449.8333333333321</v>
      </c>
      <c r="H26" s="101">
        <f t="shared" si="3"/>
        <v>6.6665058854537218E-2</v>
      </c>
      <c r="I26" s="79" t="str">
        <f t="shared" ref="I26:I42" si="4">IF(AND($C$83&gt;=E26,$C$83&lt;=F26),$C$83,"")</f>
        <v/>
      </c>
      <c r="J26" s="81" t="s">
        <v>25</v>
      </c>
    </row>
    <row r="27" spans="1:10" x14ac:dyDescent="0.2">
      <c r="A27" s="78">
        <v>312002.66666666663</v>
      </c>
      <c r="B27" s="78">
        <v>408752.49999999994</v>
      </c>
      <c r="C27" s="79">
        <f t="shared" si="1"/>
        <v>96749.833333333314</v>
      </c>
      <c r="D27" s="79"/>
      <c r="E27" s="80">
        <v>20802.666666666664</v>
      </c>
      <c r="F27" s="80">
        <v>27252.499999999996</v>
      </c>
      <c r="G27" s="79">
        <f t="shared" si="2"/>
        <v>6449.8333333333321</v>
      </c>
      <c r="H27" s="101">
        <f t="shared" si="3"/>
        <v>6.6665058854537218E-2</v>
      </c>
      <c r="I27" s="79" t="str">
        <f t="shared" si="4"/>
        <v/>
      </c>
      <c r="J27" s="81" t="s">
        <v>25</v>
      </c>
    </row>
    <row r="28" spans="1:10" x14ac:dyDescent="0.2">
      <c r="A28" s="78">
        <v>408753.49999999994</v>
      </c>
      <c r="B28" s="78">
        <v>505503.33333333326</v>
      </c>
      <c r="C28" s="79">
        <f t="shared" si="1"/>
        <v>96749.833333333314</v>
      </c>
      <c r="D28" s="79"/>
      <c r="E28" s="80">
        <v>27253.499999999996</v>
      </c>
      <c r="F28" s="80">
        <v>33703.333333333328</v>
      </c>
      <c r="G28" s="79">
        <f t="shared" si="2"/>
        <v>6449.8333333333321</v>
      </c>
      <c r="H28" s="101">
        <f t="shared" si="3"/>
        <v>6.6665058854537218E-2</v>
      </c>
      <c r="I28" s="79" t="str">
        <f t="shared" si="4"/>
        <v/>
      </c>
      <c r="J28" s="81" t="s">
        <v>25</v>
      </c>
    </row>
    <row r="29" spans="1:10" x14ac:dyDescent="0.2">
      <c r="A29" s="78">
        <v>505504.33333333326</v>
      </c>
      <c r="B29" s="78">
        <v>602254.16666666663</v>
      </c>
      <c r="C29" s="79">
        <f t="shared" si="1"/>
        <v>96749.833333333372</v>
      </c>
      <c r="D29" s="79"/>
      <c r="E29" s="80">
        <v>33704.333333333328</v>
      </c>
      <c r="F29" s="80">
        <v>40154.166666666664</v>
      </c>
      <c r="G29" s="79">
        <f t="shared" si="2"/>
        <v>6449.8333333333358</v>
      </c>
      <c r="H29" s="101">
        <f t="shared" si="3"/>
        <v>6.6665058854537218E-2</v>
      </c>
      <c r="I29" s="79" t="str">
        <f t="shared" si="4"/>
        <v/>
      </c>
      <c r="J29" s="81" t="s">
        <v>25</v>
      </c>
    </row>
    <row r="30" spans="1:10" x14ac:dyDescent="0.2">
      <c r="A30" s="78">
        <v>602255.16666666663</v>
      </c>
      <c r="B30" s="78">
        <v>699000</v>
      </c>
      <c r="C30" s="79">
        <f t="shared" si="1"/>
        <v>96744.833333333372</v>
      </c>
      <c r="D30" s="79"/>
      <c r="E30" s="80">
        <v>40155.166666666664</v>
      </c>
      <c r="F30" s="80">
        <v>46600</v>
      </c>
      <c r="G30" s="79">
        <f t="shared" si="2"/>
        <v>6444.8333333333358</v>
      </c>
      <c r="H30" s="101">
        <f t="shared" si="3"/>
        <v>6.661682191469312E-2</v>
      </c>
      <c r="I30" s="79" t="str">
        <f t="shared" si="4"/>
        <v/>
      </c>
      <c r="J30" s="81" t="s">
        <v>25</v>
      </c>
    </row>
    <row r="31" spans="1:10" x14ac:dyDescent="0.2">
      <c r="A31" s="90">
        <v>699001</v>
      </c>
      <c r="B31" s="90">
        <v>834500.91666666663</v>
      </c>
      <c r="C31" s="91">
        <f t="shared" si="1"/>
        <v>135499.91666666663</v>
      </c>
      <c r="D31" s="91"/>
      <c r="E31" s="92">
        <v>46601</v>
      </c>
      <c r="F31" s="92">
        <v>236467.58333333334</v>
      </c>
      <c r="G31" s="91">
        <f t="shared" si="2"/>
        <v>189866.58333333334</v>
      </c>
      <c r="H31" s="102">
        <f t="shared" si="3"/>
        <v>1.4012302590592003</v>
      </c>
      <c r="I31" s="91" t="str">
        <f t="shared" si="4"/>
        <v/>
      </c>
      <c r="J31" s="93" t="s">
        <v>26</v>
      </c>
    </row>
    <row r="32" spans="1:10" x14ac:dyDescent="0.2">
      <c r="A32" s="90">
        <v>834501.91666666663</v>
      </c>
      <c r="B32" s="90">
        <v>970001.83333333326</v>
      </c>
      <c r="C32" s="91">
        <f t="shared" si="1"/>
        <v>135499.91666666663</v>
      </c>
      <c r="D32" s="91"/>
      <c r="E32" s="92">
        <v>236468.58333333334</v>
      </c>
      <c r="F32" s="92">
        <v>426335.16666666669</v>
      </c>
      <c r="G32" s="91">
        <f t="shared" si="2"/>
        <v>189866.58333333334</v>
      </c>
      <c r="H32" s="102">
        <f t="shared" si="3"/>
        <v>1.4012302590592003</v>
      </c>
      <c r="I32" s="91" t="str">
        <f t="shared" si="4"/>
        <v/>
      </c>
      <c r="J32" s="93" t="s">
        <v>26</v>
      </c>
    </row>
    <row r="33" spans="1:10" x14ac:dyDescent="0.2">
      <c r="A33" s="90">
        <v>970002.83333333326</v>
      </c>
      <c r="B33" s="90">
        <v>1105502.75</v>
      </c>
      <c r="C33" s="91">
        <f t="shared" si="1"/>
        <v>135499.91666666674</v>
      </c>
      <c r="D33" s="91"/>
      <c r="E33" s="92">
        <v>426336.16666666669</v>
      </c>
      <c r="F33" s="92">
        <v>616202.75</v>
      </c>
      <c r="G33" s="91">
        <f t="shared" si="2"/>
        <v>189866.58333333331</v>
      </c>
      <c r="H33" s="102">
        <f t="shared" si="3"/>
        <v>1.401230259059199</v>
      </c>
      <c r="I33" s="91" t="str">
        <f t="shared" si="4"/>
        <v/>
      </c>
      <c r="J33" s="93" t="s">
        <v>26</v>
      </c>
    </row>
    <row r="34" spans="1:10" x14ac:dyDescent="0.2">
      <c r="A34" s="90">
        <v>1105503.75</v>
      </c>
      <c r="B34" s="90">
        <v>1241003.6666666667</v>
      </c>
      <c r="C34" s="91">
        <f t="shared" si="1"/>
        <v>135499.91666666674</v>
      </c>
      <c r="D34" s="91"/>
      <c r="E34" s="92">
        <v>616203.75</v>
      </c>
      <c r="F34" s="92">
        <v>806070.33333333337</v>
      </c>
      <c r="G34" s="91">
        <f t="shared" si="2"/>
        <v>189866.58333333337</v>
      </c>
      <c r="H34" s="102">
        <f t="shared" si="3"/>
        <v>1.4012302590591994</v>
      </c>
      <c r="I34" s="91" t="str">
        <f t="shared" si="4"/>
        <v/>
      </c>
      <c r="J34" s="93" t="s">
        <v>26</v>
      </c>
    </row>
    <row r="35" spans="1:10" x14ac:dyDescent="0.2">
      <c r="A35" s="90">
        <v>1241004.6666666667</v>
      </c>
      <c r="B35" s="90">
        <v>1376504.5833333335</v>
      </c>
      <c r="C35" s="91">
        <f t="shared" si="1"/>
        <v>135499.91666666674</v>
      </c>
      <c r="D35" s="91"/>
      <c r="E35" s="92">
        <v>806071.33333333337</v>
      </c>
      <c r="F35" s="92">
        <v>995937.91666666674</v>
      </c>
      <c r="G35" s="91">
        <f t="shared" si="2"/>
        <v>189866.58333333337</v>
      </c>
      <c r="H35" s="102">
        <f t="shared" si="3"/>
        <v>1.4012302590591994</v>
      </c>
      <c r="I35" s="91" t="str">
        <f t="shared" si="4"/>
        <v/>
      </c>
      <c r="J35" s="93" t="s">
        <v>26</v>
      </c>
    </row>
    <row r="36" spans="1:10" x14ac:dyDescent="0.2">
      <c r="A36" s="90">
        <v>1376505.5833333335</v>
      </c>
      <c r="B36" s="90">
        <v>1512005.5000000002</v>
      </c>
      <c r="C36" s="91">
        <f t="shared" si="1"/>
        <v>135499.91666666674</v>
      </c>
      <c r="D36" s="91"/>
      <c r="E36" s="92">
        <v>995938.91666666674</v>
      </c>
      <c r="F36" s="92">
        <v>1185805.5</v>
      </c>
      <c r="G36" s="91">
        <f t="shared" si="2"/>
        <v>189866.58333333326</v>
      </c>
      <c r="H36" s="102">
        <f t="shared" si="3"/>
        <v>1.4012302590591985</v>
      </c>
      <c r="I36" s="91" t="str">
        <f t="shared" si="4"/>
        <v/>
      </c>
      <c r="J36" s="93" t="s">
        <v>26</v>
      </c>
    </row>
    <row r="37" spans="1:10" x14ac:dyDescent="0.2">
      <c r="A37" s="90">
        <v>1512006.5000000002</v>
      </c>
      <c r="B37" s="90">
        <v>1647506.416666667</v>
      </c>
      <c r="C37" s="91">
        <f t="shared" si="1"/>
        <v>135499.91666666674</v>
      </c>
      <c r="D37" s="91"/>
      <c r="E37" s="92">
        <v>1185806.5</v>
      </c>
      <c r="F37" s="92">
        <v>1375673.0833333333</v>
      </c>
      <c r="G37" s="91">
        <f t="shared" si="2"/>
        <v>189866.58333333326</v>
      </c>
      <c r="H37" s="102">
        <f t="shared" si="3"/>
        <v>1.4012302590591985</v>
      </c>
      <c r="I37" s="91" t="str">
        <f t="shared" si="4"/>
        <v/>
      </c>
      <c r="J37" s="93" t="s">
        <v>26</v>
      </c>
    </row>
    <row r="38" spans="1:10" x14ac:dyDescent="0.2">
      <c r="A38" s="90">
        <v>1647507.416666667</v>
      </c>
      <c r="B38" s="90">
        <v>1783007.3333333337</v>
      </c>
      <c r="C38" s="91">
        <f t="shared" si="1"/>
        <v>135499.91666666674</v>
      </c>
      <c r="D38" s="91"/>
      <c r="E38" s="92">
        <v>1375674.0833333333</v>
      </c>
      <c r="F38" s="92">
        <v>1565540.6666666665</v>
      </c>
      <c r="G38" s="91">
        <f t="shared" si="2"/>
        <v>189866.58333333326</v>
      </c>
      <c r="H38" s="102">
        <f t="shared" si="3"/>
        <v>1.4012302590591985</v>
      </c>
      <c r="I38" s="91" t="str">
        <f t="shared" si="4"/>
        <v/>
      </c>
      <c r="J38" s="93" t="s">
        <v>26</v>
      </c>
    </row>
    <row r="39" spans="1:10" x14ac:dyDescent="0.2">
      <c r="A39" s="90">
        <v>1783008.3333333337</v>
      </c>
      <c r="B39" s="90">
        <v>1918508.2500000005</v>
      </c>
      <c r="C39" s="91">
        <f t="shared" si="1"/>
        <v>135499.91666666674</v>
      </c>
      <c r="D39" s="91"/>
      <c r="E39" s="92">
        <v>1565541.6666666665</v>
      </c>
      <c r="F39" s="92">
        <v>1755408.2499999998</v>
      </c>
      <c r="G39" s="91">
        <f t="shared" si="2"/>
        <v>189866.58333333326</v>
      </c>
      <c r="H39" s="102">
        <f t="shared" si="3"/>
        <v>1.4012302590591985</v>
      </c>
      <c r="I39" s="91" t="str">
        <f t="shared" si="4"/>
        <v/>
      </c>
      <c r="J39" s="93" t="s">
        <v>26</v>
      </c>
    </row>
    <row r="40" spans="1:10" x14ac:dyDescent="0.2">
      <c r="A40" s="90">
        <v>1918509.2500000005</v>
      </c>
      <c r="B40" s="90">
        <v>2054009.1666666672</v>
      </c>
      <c r="C40" s="91">
        <f t="shared" si="1"/>
        <v>135499.91666666674</v>
      </c>
      <c r="D40" s="91"/>
      <c r="E40" s="92">
        <v>1755409.2499999998</v>
      </c>
      <c r="F40" s="92">
        <v>1945275.833333333</v>
      </c>
      <c r="G40" s="91">
        <f t="shared" si="2"/>
        <v>189866.58333333326</v>
      </c>
      <c r="H40" s="102">
        <f t="shared" si="3"/>
        <v>1.4012302590591985</v>
      </c>
      <c r="I40" s="91" t="str">
        <f t="shared" si="4"/>
        <v/>
      </c>
      <c r="J40" s="93" t="s">
        <v>26</v>
      </c>
    </row>
    <row r="41" spans="1:10" x14ac:dyDescent="0.2">
      <c r="A41" s="90">
        <v>2054010.1666666672</v>
      </c>
      <c r="B41" s="90">
        <v>2189510.083333334</v>
      </c>
      <c r="C41" s="91">
        <f t="shared" si="1"/>
        <v>135499.91666666674</v>
      </c>
      <c r="D41" s="91"/>
      <c r="E41" s="92">
        <v>1945276.833333333</v>
      </c>
      <c r="F41" s="92">
        <v>2135143.4166666665</v>
      </c>
      <c r="G41" s="91">
        <f t="shared" si="2"/>
        <v>189866.58333333349</v>
      </c>
      <c r="H41" s="102">
        <f t="shared" si="3"/>
        <v>1.4012302590592003</v>
      </c>
      <c r="I41" s="91" t="str">
        <f t="shared" si="4"/>
        <v/>
      </c>
      <c r="J41" s="93" t="s">
        <v>26</v>
      </c>
    </row>
    <row r="42" spans="1:10" x14ac:dyDescent="0.2">
      <c r="A42" s="90">
        <v>2189511.083333334</v>
      </c>
      <c r="B42" s="94">
        <v>2325000</v>
      </c>
      <c r="C42" s="91">
        <f t="shared" si="1"/>
        <v>135488.91666666605</v>
      </c>
      <c r="D42" s="91"/>
      <c r="E42" s="92">
        <v>2135144.4166666665</v>
      </c>
      <c r="F42" s="92">
        <v>2325000</v>
      </c>
      <c r="G42" s="91">
        <f t="shared" si="2"/>
        <v>189855.58333333349</v>
      </c>
      <c r="H42" s="102">
        <f t="shared" si="3"/>
        <v>1.4012628339218474</v>
      </c>
      <c r="I42" s="91" t="str">
        <f t="shared" si="4"/>
        <v/>
      </c>
      <c r="J42" s="93" t="s">
        <v>26</v>
      </c>
    </row>
    <row r="44" spans="1:10" x14ac:dyDescent="0.2">
      <c r="A44" s="18" t="s">
        <v>53</v>
      </c>
    </row>
    <row r="45" spans="1:10" x14ac:dyDescent="0.2">
      <c r="A45" s="18" t="s">
        <v>0</v>
      </c>
      <c r="B45" s="18" t="s">
        <v>1</v>
      </c>
      <c r="C45" s="18" t="s">
        <v>7</v>
      </c>
      <c r="D45" s="18" t="s">
        <v>8</v>
      </c>
      <c r="E45" s="18" t="s">
        <v>6</v>
      </c>
      <c r="F45" s="18" t="s">
        <v>8</v>
      </c>
    </row>
    <row r="46" spans="1:10" x14ac:dyDescent="0.2">
      <c r="A46" s="67">
        <f>+C2</f>
        <v>1000000</v>
      </c>
      <c r="B46" s="67">
        <f>+A46+G46</f>
        <v>1030000</v>
      </c>
      <c r="C46" s="44">
        <v>10</v>
      </c>
      <c r="D46" s="44">
        <v>1</v>
      </c>
      <c r="E46" s="17" t="str">
        <f>IF((($B$67*80%)+(50%*$B$68))&gt;=A46,IF((($B$67*80%)+(50%*$B$68))&lt;B46,C46," ")," ")</f>
        <v xml:space="preserve"> </v>
      </c>
      <c r="F46" s="65" t="str">
        <f>IF((($B$67*80%)+(50%*$B$68))&gt;=A46,IF((($B$67*80%)+(50%*$B$68))&lt;B46,D46," ")," ")</f>
        <v xml:space="preserve"> </v>
      </c>
      <c r="G46">
        <v>30000</v>
      </c>
      <c r="H46" s="71"/>
      <c r="I46" s="71"/>
    </row>
    <row r="47" spans="1:10" x14ac:dyDescent="0.2">
      <c r="A47" s="67">
        <f>+B46</f>
        <v>1030000</v>
      </c>
      <c r="B47" s="67">
        <f t="shared" ref="B47:B61" si="5">+A47+G47</f>
        <v>1075000</v>
      </c>
      <c r="C47" s="44">
        <v>10</v>
      </c>
      <c r="D47" s="44">
        <v>1</v>
      </c>
      <c r="E47" s="17" t="str">
        <f t="shared" ref="E47:E62" si="6">IF((($B$67*80%)+(50%*$B$68))&gt;=A47,IF((($B$67*80%)+(50%*$B$68))&lt;B47,C47," ")," ")</f>
        <v xml:space="preserve"> </v>
      </c>
      <c r="F47" s="65" t="str">
        <f t="shared" ref="F47:F62" si="7">IF((($B$67*80%)+(50%*$B$68))&gt;=A47,IF((($B$67*80%)+(50%*$B$68))&lt;B47,D47," ")," ")</f>
        <v xml:space="preserve"> </v>
      </c>
      <c r="G47">
        <v>45000</v>
      </c>
    </row>
    <row r="48" spans="1:10" x14ac:dyDescent="0.2">
      <c r="A48" s="67">
        <f t="shared" ref="A48:A62" si="8">+B47</f>
        <v>1075000</v>
      </c>
      <c r="B48" s="67">
        <f t="shared" si="5"/>
        <v>1130000</v>
      </c>
      <c r="C48" s="44">
        <v>10</v>
      </c>
      <c r="D48" s="44">
        <v>1.25</v>
      </c>
      <c r="E48" s="17" t="str">
        <f t="shared" si="6"/>
        <v xml:space="preserve"> </v>
      </c>
      <c r="F48" s="65" t="str">
        <f t="shared" si="7"/>
        <v xml:space="preserve"> </v>
      </c>
      <c r="G48" s="71">
        <v>55000</v>
      </c>
    </row>
    <row r="49" spans="1:7" x14ac:dyDescent="0.2">
      <c r="A49" s="67">
        <f t="shared" si="8"/>
        <v>1130000</v>
      </c>
      <c r="B49" s="67">
        <f t="shared" si="5"/>
        <v>1205000</v>
      </c>
      <c r="C49" s="44">
        <v>10</v>
      </c>
      <c r="D49" s="44">
        <v>1.5</v>
      </c>
      <c r="E49" s="17" t="str">
        <f t="shared" si="6"/>
        <v xml:space="preserve"> </v>
      </c>
      <c r="F49" s="65" t="str">
        <f t="shared" si="7"/>
        <v xml:space="preserve"> </v>
      </c>
      <c r="G49" s="71">
        <v>75000</v>
      </c>
    </row>
    <row r="50" spans="1:7" x14ac:dyDescent="0.2">
      <c r="A50" s="67">
        <f t="shared" si="8"/>
        <v>1205000</v>
      </c>
      <c r="B50" s="67">
        <f t="shared" si="5"/>
        <v>1310000</v>
      </c>
      <c r="C50" s="44">
        <v>10</v>
      </c>
      <c r="D50" s="44">
        <v>1.75</v>
      </c>
      <c r="E50" s="17" t="str">
        <f t="shared" si="6"/>
        <v xml:space="preserve"> </v>
      </c>
      <c r="F50" s="65" t="str">
        <f t="shared" si="7"/>
        <v xml:space="preserve"> </v>
      </c>
      <c r="G50" s="71">
        <v>105000</v>
      </c>
    </row>
    <row r="51" spans="1:7" x14ac:dyDescent="0.2">
      <c r="A51" s="67">
        <f t="shared" si="8"/>
        <v>1310000</v>
      </c>
      <c r="B51" s="67">
        <f t="shared" si="5"/>
        <v>1435000</v>
      </c>
      <c r="C51" s="44">
        <v>10</v>
      </c>
      <c r="D51" s="44">
        <v>2</v>
      </c>
      <c r="E51" s="17" t="str">
        <f t="shared" si="6"/>
        <v xml:space="preserve"> </v>
      </c>
      <c r="F51" s="65" t="str">
        <f t="shared" si="7"/>
        <v xml:space="preserve"> </v>
      </c>
      <c r="G51" s="71">
        <v>125000</v>
      </c>
    </row>
    <row r="52" spans="1:7" x14ac:dyDescent="0.2">
      <c r="A52" s="67">
        <f t="shared" si="8"/>
        <v>1435000</v>
      </c>
      <c r="B52" s="67">
        <f t="shared" si="5"/>
        <v>1590000</v>
      </c>
      <c r="C52" s="44">
        <v>10</v>
      </c>
      <c r="D52" s="44">
        <v>2.1</v>
      </c>
      <c r="E52" s="17" t="str">
        <f t="shared" si="6"/>
        <v xml:space="preserve"> </v>
      </c>
      <c r="F52" s="65" t="str">
        <f t="shared" si="7"/>
        <v xml:space="preserve"> </v>
      </c>
      <c r="G52" s="71">
        <v>155000</v>
      </c>
    </row>
    <row r="53" spans="1:7" x14ac:dyDescent="0.2">
      <c r="A53" s="67">
        <f t="shared" si="8"/>
        <v>1590000</v>
      </c>
      <c r="B53" s="67">
        <f t="shared" si="5"/>
        <v>1775000</v>
      </c>
      <c r="C53" s="44">
        <v>10</v>
      </c>
      <c r="D53" s="44">
        <v>2.25</v>
      </c>
      <c r="E53" s="17" t="str">
        <f t="shared" si="6"/>
        <v xml:space="preserve"> </v>
      </c>
      <c r="F53" s="65" t="str">
        <f t="shared" si="7"/>
        <v xml:space="preserve"> </v>
      </c>
      <c r="G53" s="71">
        <v>185000</v>
      </c>
    </row>
    <row r="54" spans="1:7" x14ac:dyDescent="0.2">
      <c r="A54" s="67">
        <f t="shared" si="8"/>
        <v>1775000</v>
      </c>
      <c r="B54" s="67">
        <f t="shared" si="5"/>
        <v>1990000</v>
      </c>
      <c r="C54" s="44">
        <v>10</v>
      </c>
      <c r="D54" s="44">
        <v>2.5</v>
      </c>
      <c r="E54" s="17" t="str">
        <f t="shared" si="6"/>
        <v xml:space="preserve"> </v>
      </c>
      <c r="F54" s="65" t="str">
        <f t="shared" si="7"/>
        <v xml:space="preserve"> </v>
      </c>
      <c r="G54" s="71">
        <v>215000</v>
      </c>
    </row>
    <row r="55" spans="1:7" x14ac:dyDescent="0.2">
      <c r="A55" s="67">
        <f t="shared" si="8"/>
        <v>1990000</v>
      </c>
      <c r="B55" s="67">
        <f t="shared" si="5"/>
        <v>2245000</v>
      </c>
      <c r="C55" s="44">
        <v>10</v>
      </c>
      <c r="D55" s="44">
        <v>2.75</v>
      </c>
      <c r="E55" s="17" t="str">
        <f t="shared" si="6"/>
        <v xml:space="preserve"> </v>
      </c>
      <c r="F55" s="65" t="str">
        <f t="shared" si="7"/>
        <v xml:space="preserve"> </v>
      </c>
      <c r="G55" s="71">
        <v>255000</v>
      </c>
    </row>
    <row r="56" spans="1:7" x14ac:dyDescent="0.2">
      <c r="A56" s="67">
        <f t="shared" si="8"/>
        <v>2245000</v>
      </c>
      <c r="B56" s="67">
        <f t="shared" si="5"/>
        <v>2550000</v>
      </c>
      <c r="C56" s="44">
        <v>10</v>
      </c>
      <c r="D56" s="44">
        <v>3</v>
      </c>
      <c r="E56" s="17" t="str">
        <f t="shared" si="6"/>
        <v xml:space="preserve"> </v>
      </c>
      <c r="F56" s="65" t="str">
        <f t="shared" si="7"/>
        <v xml:space="preserve"> </v>
      </c>
      <c r="G56" s="71">
        <v>305000</v>
      </c>
    </row>
    <row r="57" spans="1:7" x14ac:dyDescent="0.2">
      <c r="A57" s="67">
        <f t="shared" si="8"/>
        <v>2550000</v>
      </c>
      <c r="B57" s="67">
        <f t="shared" si="5"/>
        <v>2950000</v>
      </c>
      <c r="C57" s="44">
        <v>10</v>
      </c>
      <c r="D57" s="44">
        <v>3.1</v>
      </c>
      <c r="E57" s="17" t="str">
        <f t="shared" si="6"/>
        <v xml:space="preserve"> </v>
      </c>
      <c r="F57" s="65" t="str">
        <f t="shared" si="7"/>
        <v xml:space="preserve"> </v>
      </c>
      <c r="G57" s="71">
        <v>400000</v>
      </c>
    </row>
    <row r="58" spans="1:7" x14ac:dyDescent="0.2">
      <c r="A58" s="67">
        <f t="shared" si="8"/>
        <v>2950000</v>
      </c>
      <c r="B58" s="67">
        <f t="shared" si="5"/>
        <v>3450000</v>
      </c>
      <c r="C58" s="44">
        <v>10</v>
      </c>
      <c r="D58" s="44">
        <v>3.25</v>
      </c>
      <c r="E58" s="17" t="str">
        <f t="shared" si="6"/>
        <v xml:space="preserve"> </v>
      </c>
      <c r="F58" s="65" t="str">
        <f t="shared" si="7"/>
        <v xml:space="preserve"> </v>
      </c>
      <c r="G58" s="71">
        <v>500000</v>
      </c>
    </row>
    <row r="59" spans="1:7" x14ac:dyDescent="0.2">
      <c r="A59" s="67">
        <f t="shared" si="8"/>
        <v>3450000</v>
      </c>
      <c r="B59" s="67">
        <f t="shared" si="5"/>
        <v>4050000</v>
      </c>
      <c r="C59" s="44">
        <v>10</v>
      </c>
      <c r="D59" s="44">
        <v>3.5</v>
      </c>
      <c r="E59" s="17" t="str">
        <f t="shared" si="6"/>
        <v xml:space="preserve"> </v>
      </c>
      <c r="F59" s="65" t="str">
        <f t="shared" si="7"/>
        <v xml:space="preserve"> </v>
      </c>
      <c r="G59" s="71">
        <v>600000</v>
      </c>
    </row>
    <row r="60" spans="1:7" x14ac:dyDescent="0.2">
      <c r="A60" s="67">
        <f t="shared" si="8"/>
        <v>4050000</v>
      </c>
      <c r="B60" s="67">
        <f t="shared" si="5"/>
        <v>4850000</v>
      </c>
      <c r="C60" s="44">
        <v>10</v>
      </c>
      <c r="D60" s="44">
        <v>3.75</v>
      </c>
      <c r="E60" s="17" t="str">
        <f t="shared" si="6"/>
        <v xml:space="preserve"> </v>
      </c>
      <c r="F60" s="65" t="str">
        <f t="shared" si="7"/>
        <v xml:space="preserve"> </v>
      </c>
      <c r="G60">
        <v>800000</v>
      </c>
    </row>
    <row r="61" spans="1:7" x14ac:dyDescent="0.2">
      <c r="A61" s="67">
        <f t="shared" si="8"/>
        <v>4850000</v>
      </c>
      <c r="B61" s="67">
        <f t="shared" si="5"/>
        <v>5850000</v>
      </c>
      <c r="C61" s="44">
        <v>10</v>
      </c>
      <c r="D61" s="44">
        <v>4</v>
      </c>
      <c r="E61" s="17" t="str">
        <f t="shared" si="6"/>
        <v xml:space="preserve"> </v>
      </c>
      <c r="F61" s="65" t="str">
        <f t="shared" si="7"/>
        <v xml:space="preserve"> </v>
      </c>
      <c r="G61">
        <v>1000000</v>
      </c>
    </row>
    <row r="62" spans="1:7" x14ac:dyDescent="0.2">
      <c r="A62" s="67">
        <f t="shared" si="8"/>
        <v>5850000</v>
      </c>
      <c r="B62" s="67">
        <v>999999999</v>
      </c>
      <c r="C62" s="44">
        <v>10</v>
      </c>
      <c r="D62" s="44">
        <v>4.0999999999999996</v>
      </c>
      <c r="E62" s="17" t="str">
        <f t="shared" si="6"/>
        <v xml:space="preserve"> </v>
      </c>
      <c r="F62" s="65" t="str">
        <f t="shared" si="7"/>
        <v xml:space="preserve"> </v>
      </c>
      <c r="G62">
        <v>999999999</v>
      </c>
    </row>
    <row r="63" spans="1:7" x14ac:dyDescent="0.2">
      <c r="A63" s="67"/>
      <c r="B63" s="67"/>
      <c r="C63" s="44"/>
      <c r="D63" s="44"/>
      <c r="E63" s="17"/>
      <c r="F63" s="65"/>
    </row>
    <row r="65" spans="1:5" x14ac:dyDescent="0.2">
      <c r="B65" s="47" t="s">
        <v>10</v>
      </c>
      <c r="C65" s="47" t="s">
        <v>12</v>
      </c>
    </row>
    <row r="66" spans="1:5" x14ac:dyDescent="0.2">
      <c r="A66" s="18" t="s">
        <v>11</v>
      </c>
      <c r="B66" s="39">
        <f>+(B67*80%)+(50%*B68)-B70-(1+B71)*B74*B75</f>
        <v>0</v>
      </c>
      <c r="C66" s="19">
        <f>+PV($B$73/12,$B$72,-$B$66,0,0)</f>
        <v>0</v>
      </c>
      <c r="D66" s="66"/>
    </row>
    <row r="67" spans="1:5" x14ac:dyDescent="0.2">
      <c r="A67" s="40" t="s">
        <v>29</v>
      </c>
      <c r="B67" s="39">
        <f>+Tabla!D14</f>
        <v>0</v>
      </c>
      <c r="C67" s="18"/>
    </row>
    <row r="68" spans="1:5" x14ac:dyDescent="0.2">
      <c r="A68" s="40" t="s">
        <v>28</v>
      </c>
      <c r="B68" s="39">
        <f>+Tabla!D15</f>
        <v>0</v>
      </c>
      <c r="C68" s="18"/>
      <c r="D68" s="66"/>
      <c r="E68" s="66"/>
    </row>
    <row r="69" spans="1:5" x14ac:dyDescent="0.2">
      <c r="A69" s="40" t="s">
        <v>52</v>
      </c>
      <c r="B69" s="39">
        <f>+B67+B68</f>
        <v>0</v>
      </c>
      <c r="C69" s="18"/>
      <c r="D69" s="66"/>
      <c r="E69" s="66"/>
    </row>
    <row r="70" spans="1:5" x14ac:dyDescent="0.2">
      <c r="A70" s="41" t="s">
        <v>3</v>
      </c>
      <c r="B70" s="39">
        <f>+Tabla!D16</f>
        <v>0</v>
      </c>
      <c r="C70" s="18"/>
      <c r="D70" s="66"/>
    </row>
    <row r="71" spans="1:5" x14ac:dyDescent="0.2">
      <c r="A71" s="40" t="s">
        <v>4</v>
      </c>
      <c r="B71" s="42">
        <f>+Tabla!D17</f>
        <v>0</v>
      </c>
      <c r="C71" s="18"/>
      <c r="D71" s="66"/>
    </row>
    <row r="72" spans="1:5" x14ac:dyDescent="0.2">
      <c r="A72" s="40" t="s">
        <v>21</v>
      </c>
      <c r="B72" s="42">
        <f>+Tabla!D11</f>
        <v>36</v>
      </c>
      <c r="C72" s="18"/>
    </row>
    <row r="73" spans="1:5" x14ac:dyDescent="0.2">
      <c r="A73" s="16" t="s">
        <v>9</v>
      </c>
      <c r="B73" s="43">
        <f>+Tabla!D9</f>
        <v>0.28999999999999998</v>
      </c>
      <c r="C73" s="18"/>
    </row>
    <row r="74" spans="1:5" x14ac:dyDescent="0.2">
      <c r="A74" s="16" t="s">
        <v>6</v>
      </c>
      <c r="B74" s="39">
        <f>+SUM(E46:E62)*$C$3</f>
        <v>0</v>
      </c>
      <c r="C74" s="18"/>
    </row>
    <row r="75" spans="1:5" x14ac:dyDescent="0.2">
      <c r="A75" s="16" t="s">
        <v>8</v>
      </c>
      <c r="B75" s="42">
        <f>+SUM(F46:F62)</f>
        <v>0</v>
      </c>
      <c r="C75" s="18"/>
    </row>
    <row r="76" spans="1:5" x14ac:dyDescent="0.2">
      <c r="A76" s="18" t="s">
        <v>5</v>
      </c>
      <c r="B76" s="39">
        <f>+IF(Tabla!D18="Si",(B67*0.8+B68*0.5)*0.35-B70,(B67*0.8+B68*0.5)*0.2-B70)</f>
        <v>0</v>
      </c>
      <c r="C76" s="19">
        <f>+PV($B$73/12,$B$72,-$B$76,0,0)</f>
        <v>0</v>
      </c>
    </row>
    <row r="77" spans="1:5" x14ac:dyDescent="0.2">
      <c r="A77" s="46" t="s">
        <v>31</v>
      </c>
      <c r="B77" s="43">
        <f>1/B72</f>
        <v>2.7777777777777776E-2</v>
      </c>
      <c r="C77" s="19"/>
    </row>
    <row r="78" spans="1:5" x14ac:dyDescent="0.2">
      <c r="A78" s="45" t="s">
        <v>32</v>
      </c>
      <c r="B78" s="43">
        <f>+B73/12</f>
        <v>2.4166666666666666E-2</v>
      </c>
      <c r="C78" s="19"/>
    </row>
    <row r="79" spans="1:5" x14ac:dyDescent="0.2">
      <c r="A79" s="45" t="s">
        <v>33</v>
      </c>
      <c r="B79" s="43">
        <f>+B78+B77</f>
        <v>5.1944444444444446E-2</v>
      </c>
      <c r="C79" s="19"/>
    </row>
    <row r="80" spans="1:5" x14ac:dyDescent="0.2">
      <c r="A80" s="45" t="s">
        <v>10</v>
      </c>
      <c r="B80" s="39">
        <f>+MIN(B76,B66)</f>
        <v>0</v>
      </c>
      <c r="C80" s="19">
        <f>+B80/B79</f>
        <v>0</v>
      </c>
    </row>
    <row r="81" spans="1:5" x14ac:dyDescent="0.2">
      <c r="A81" s="18" t="s">
        <v>47</v>
      </c>
      <c r="B81" s="39"/>
      <c r="C81" s="19">
        <f>+MIN(C66,C80)</f>
        <v>0</v>
      </c>
    </row>
    <row r="82" spans="1:5" x14ac:dyDescent="0.2">
      <c r="A82" s="18" t="s">
        <v>48</v>
      </c>
      <c r="B82" s="48"/>
      <c r="C82" s="49">
        <f>+C81/$C$1</f>
        <v>0</v>
      </c>
    </row>
    <row r="83" spans="1:5" x14ac:dyDescent="0.2">
      <c r="A83" s="18" t="s">
        <v>49</v>
      </c>
      <c r="B83" s="61"/>
      <c r="C83" s="74" t="str">
        <f>+IF(($C$82-FLOOR($C$82,100))&gt;=$C$4,CEILING($C$82,100),IF(FLOOR($C$82,100)&lt;$B$8,"Sin capacidad para endeudamientos adicionales",IF(($C$82-FLOOR($C$82,100))&gt;=$C$4,CEILING($C$82,100),FLOOR($C$82,100))))</f>
        <v>Sin capacidad para endeudamientos adicionales</v>
      </c>
      <c r="D83" s="62" t="str">
        <f>+IF(OR($C$83=0,C83="Sin capacidad para endeudamientos adicionales"),"",IF(AND($C$83&gt;=$B$8,$C$83&lt;=$C$8),$A$8,IF(AND($C$83&gt;=$B$9,$C$83&lt;=$C$9),$A$9,IF(AND($C$83&gt;=$B$10,$C$83&lt;=$C$10),$A$10,IF($C$83&gt;=$B$11,$A$11,"")))))</f>
        <v/>
      </c>
      <c r="E83" s="62"/>
    </row>
    <row r="84" spans="1:5" x14ac:dyDescent="0.2">
      <c r="A84" s="18" t="s">
        <v>58</v>
      </c>
      <c r="B84" s="39"/>
      <c r="C84" s="49">
        <f>SUM($I$15:$I$42)</f>
        <v>0</v>
      </c>
      <c r="D84" s="66"/>
    </row>
    <row r="85" spans="1:5" x14ac:dyDescent="0.2">
      <c r="A85" s="18" t="s">
        <v>59</v>
      </c>
      <c r="B85" s="39"/>
      <c r="C85" s="49">
        <f>+IF(($C$84-FLOOR($C$84,100))&gt;=$C$4,CEILING($C$84,100),FLOOR($C$84,100))</f>
        <v>0</v>
      </c>
      <c r="D85" s="66" t="e">
        <f>+VLOOKUP(C84,$I$15:$J$42,2,0)</f>
        <v>#N/A</v>
      </c>
    </row>
    <row r="86" spans="1:5" x14ac:dyDescent="0.2">
      <c r="A86" s="18" t="s">
        <v>50</v>
      </c>
      <c r="B86" s="39"/>
      <c r="C86" s="74" t="str">
        <f>+IF(C83="Sin capacidad para endeudamientos adicionales","Sin capacidad para endeudamientos adicionales",MIN(C83,C85))</f>
        <v>Sin capacidad para endeudamientos adicionales</v>
      </c>
      <c r="D86" t="str">
        <f>+IF(C83="Sin capacidad para endeudamientos adicionales","Sin capacidad para endeudamientos adicionales",IF(C86=C85,D85,D83))</f>
        <v>Sin capacidad para endeudamientos adicionales</v>
      </c>
    </row>
    <row r="87" spans="1:5" x14ac:dyDescent="0.2">
      <c r="A87" s="18" t="s">
        <v>51</v>
      </c>
      <c r="B87" s="39"/>
      <c r="C87" s="72" t="str">
        <f>+IF(C83="Sin capacidad para endeudamientos adicionales","Sin capacidad para endeudamientos adicionales",C86*$C$1)</f>
        <v>Sin capacidad para endeudamientos adicionales</v>
      </c>
    </row>
    <row r="88" spans="1:5" x14ac:dyDescent="0.2">
      <c r="A88" s="18" t="s">
        <v>35</v>
      </c>
      <c r="B88" s="73" t="str">
        <f>+D86</f>
        <v>Sin capacidad para endeudamientos adicionales</v>
      </c>
      <c r="C88" s="72" t="str">
        <f>+IF(C83="Sin capacidad para endeudamientos adicionales","Sin capacidad para endeudamientos adicionales",C87)</f>
        <v>Sin capacidad para endeudamientos adicionales</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Tabla</vt:lpstr>
      <vt:lpstr>Factor</vt:lpstr>
      <vt:lpstr>Tabla!Área_de_impresión</vt:lpstr>
    </vt:vector>
  </TitlesOfParts>
  <Manager/>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Fleitas, Mayerlin.</dc:creator>
  <cp:lastModifiedBy>Perez, Elizabeth.</cp:lastModifiedBy>
  <cp:lastPrinted>2012-09-14T20:04:40Z</cp:lastPrinted>
  <dcterms:created xsi:type="dcterms:W3CDTF">2005-08-30T19:56:20Z</dcterms:created>
  <dcterms:modified xsi:type="dcterms:W3CDTF">2018-05-23T18:10:07Z</dcterms:modified>
</cp:coreProperties>
</file>