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B1F" lockStructure="1"/>
  <bookViews>
    <workbookView showSheetTabs="0" xWindow="-105" yWindow="4230" windowWidth="15480" windowHeight="5670" tabRatio="745"/>
  </bookViews>
  <sheets>
    <sheet name="Tabla" sheetId="2" r:id="rId1"/>
    <sheet name="Factor" sheetId="5" state="hidden" r:id="rId2"/>
  </sheets>
  <definedNames>
    <definedName name="_xlnm.Print_Area" localSheetId="0">Tabla!$A$1:$G$26</definedName>
  </definedNames>
  <calcPr calcId="145621"/>
</workbook>
</file>

<file path=xl/calcChain.xml><?xml version="1.0" encoding="utf-8"?>
<calcChain xmlns="http://schemas.openxmlformats.org/spreadsheetml/2006/main">
  <c r="B8" i="5" l="1"/>
  <c r="C11" i="5"/>
  <c r="F31" i="5"/>
  <c r="B31" i="5" s="1"/>
  <c r="L31" i="5"/>
  <c r="F25" i="5"/>
  <c r="E26" i="5" s="1"/>
  <c r="A26" i="5" s="1"/>
  <c r="L25" i="5"/>
  <c r="F18" i="5"/>
  <c r="E19" i="5" s="1"/>
  <c r="A19" i="5" s="1"/>
  <c r="L18" i="5"/>
  <c r="F15" i="5"/>
  <c r="B15" i="5" s="1"/>
  <c r="L15" i="5"/>
  <c r="E31" i="5"/>
  <c r="A31" i="5" s="1"/>
  <c r="E25" i="5"/>
  <c r="A25" i="5" s="1"/>
  <c r="E18" i="5"/>
  <c r="B42" i="5"/>
  <c r="B30" i="5"/>
  <c r="B24" i="5"/>
  <c r="A18" i="5"/>
  <c r="B17" i="5"/>
  <c r="A15" i="5"/>
  <c r="E32" i="5" l="1"/>
  <c r="F26" i="5"/>
  <c r="B25" i="5"/>
  <c r="F19" i="5"/>
  <c r="B18" i="5"/>
  <c r="E16" i="5"/>
  <c r="B47" i="5"/>
  <c r="B46" i="5"/>
  <c r="A46" i="5"/>
  <c r="A32" i="5" l="1"/>
  <c r="F32" i="5"/>
  <c r="G32" i="5" s="1"/>
  <c r="E27" i="5"/>
  <c r="B26" i="5"/>
  <c r="B19" i="5"/>
  <c r="E20" i="5"/>
  <c r="A16" i="5"/>
  <c r="F16" i="5"/>
  <c r="D11" i="2"/>
  <c r="B11" i="5"/>
  <c r="C10" i="5"/>
  <c r="B10" i="5"/>
  <c r="C9" i="5"/>
  <c r="B9" i="5"/>
  <c r="C8" i="5"/>
  <c r="G31" i="5"/>
  <c r="G26" i="5"/>
  <c r="G25" i="5"/>
  <c r="G19" i="5"/>
  <c r="G18" i="5"/>
  <c r="G15" i="5"/>
  <c r="C31" i="5"/>
  <c r="H31" i="5" s="1"/>
  <c r="C26" i="5"/>
  <c r="H26" i="5" s="1"/>
  <c r="C25" i="5"/>
  <c r="H25" i="5" s="1"/>
  <c r="C19" i="5"/>
  <c r="H19" i="5" s="1"/>
  <c r="C18" i="5"/>
  <c r="H18" i="5" s="1"/>
  <c r="C15" i="5"/>
  <c r="H15" i="5" s="1"/>
  <c r="A48" i="5"/>
  <c r="B48" i="5" s="1"/>
  <c r="A49" i="5"/>
  <c r="B49" i="5" s="1"/>
  <c r="A50" i="5"/>
  <c r="A47" i="5"/>
  <c r="B67" i="5"/>
  <c r="B68" i="5"/>
  <c r="D9" i="2"/>
  <c r="B73" i="5"/>
  <c r="B71" i="5"/>
  <c r="B70" i="5"/>
  <c r="B1" i="5"/>
  <c r="B2" i="5"/>
  <c r="B3" i="5" s="1"/>
  <c r="B4" i="5" s="1"/>
  <c r="B72" i="5"/>
  <c r="B77" i="5"/>
  <c r="B79" i="5"/>
  <c r="D24" i="2"/>
  <c r="G14" i="2"/>
  <c r="B76" i="5"/>
  <c r="C76" i="5" s="1"/>
  <c r="B78" i="5"/>
  <c r="F46" i="5" l="1"/>
  <c r="E33" i="5"/>
  <c r="B32" i="5"/>
  <c r="C32" i="5" s="1"/>
  <c r="H32" i="5" s="1"/>
  <c r="F27" i="5"/>
  <c r="A27" i="5"/>
  <c r="F20" i="5"/>
  <c r="A20" i="5"/>
  <c r="B16" i="5"/>
  <c r="C16" i="5" s="1"/>
  <c r="E17" i="5"/>
  <c r="G16" i="5"/>
  <c r="H16" i="5" s="1"/>
  <c r="E48" i="5"/>
  <c r="F47" i="5"/>
  <c r="B50" i="5"/>
  <c r="F49" i="5"/>
  <c r="E47" i="5"/>
  <c r="D19" i="2"/>
  <c r="E49" i="5"/>
  <c r="F48" i="5"/>
  <c r="B69" i="5"/>
  <c r="E46" i="5"/>
  <c r="F33" i="5" l="1"/>
  <c r="A33" i="5"/>
  <c r="B27" i="5"/>
  <c r="C27" i="5" s="1"/>
  <c r="E28" i="5"/>
  <c r="G27" i="5"/>
  <c r="B20" i="5"/>
  <c r="C20" i="5" s="1"/>
  <c r="E21" i="5"/>
  <c r="G20" i="5"/>
  <c r="A17" i="5"/>
  <c r="C17" i="5" s="1"/>
  <c r="G17" i="5"/>
  <c r="F50" i="5"/>
  <c r="A51" i="5"/>
  <c r="E50" i="5"/>
  <c r="B33" i="5" l="1"/>
  <c r="C33" i="5" s="1"/>
  <c r="E34" i="5"/>
  <c r="G33" i="5"/>
  <c r="F28" i="5"/>
  <c r="A28" i="5"/>
  <c r="H27" i="5"/>
  <c r="F21" i="5"/>
  <c r="A21" i="5"/>
  <c r="H20" i="5"/>
  <c r="H17" i="5"/>
  <c r="B51" i="5"/>
  <c r="A52" i="5" s="1"/>
  <c r="E51" i="5"/>
  <c r="A34" i="5" l="1"/>
  <c r="F34" i="5"/>
  <c r="H33" i="5"/>
  <c r="E29" i="5"/>
  <c r="B28" i="5"/>
  <c r="C28" i="5" s="1"/>
  <c r="G28" i="5"/>
  <c r="E22" i="5"/>
  <c r="B21" i="5"/>
  <c r="C21" i="5" s="1"/>
  <c r="H21" i="5" s="1"/>
  <c r="G21" i="5"/>
  <c r="B52" i="5"/>
  <c r="A53" i="5" s="1"/>
  <c r="E52" i="5"/>
  <c r="F51" i="5"/>
  <c r="E35" i="5" l="1"/>
  <c r="B34" i="5"/>
  <c r="C34" i="5" s="1"/>
  <c r="H34" i="5" s="1"/>
  <c r="G34" i="5"/>
  <c r="H28" i="5"/>
  <c r="F29" i="5"/>
  <c r="A29" i="5"/>
  <c r="F22" i="5"/>
  <c r="A22" i="5"/>
  <c r="B53" i="5"/>
  <c r="A54" i="5" s="1"/>
  <c r="E53" i="5"/>
  <c r="F52" i="5"/>
  <c r="F35" i="5" l="1"/>
  <c r="A35" i="5"/>
  <c r="B29" i="5"/>
  <c r="C29" i="5" s="1"/>
  <c r="E30" i="5"/>
  <c r="G29" i="5"/>
  <c r="E23" i="5"/>
  <c r="B22" i="5"/>
  <c r="C22" i="5" s="1"/>
  <c r="H22" i="5" s="1"/>
  <c r="G22" i="5"/>
  <c r="B54" i="5"/>
  <c r="A55" i="5" s="1"/>
  <c r="E54" i="5"/>
  <c r="F54" i="5"/>
  <c r="F53" i="5"/>
  <c r="E36" i="5" l="1"/>
  <c r="B35" i="5"/>
  <c r="C35" i="5" s="1"/>
  <c r="H35" i="5" s="1"/>
  <c r="G35" i="5"/>
  <c r="A30" i="5"/>
  <c r="C30" i="5" s="1"/>
  <c r="G30" i="5"/>
  <c r="H29" i="5"/>
  <c r="F23" i="5"/>
  <c r="A23" i="5"/>
  <c r="B55" i="5"/>
  <c r="A56" i="5" s="1"/>
  <c r="F55" i="5"/>
  <c r="E55" i="5"/>
  <c r="A36" i="5" l="1"/>
  <c r="F36" i="5"/>
  <c r="H30" i="5"/>
  <c r="B23" i="5"/>
  <c r="C23" i="5" s="1"/>
  <c r="E24" i="5"/>
  <c r="G23" i="5"/>
  <c r="B56" i="5"/>
  <c r="A57" i="5" s="1"/>
  <c r="F56" i="5"/>
  <c r="E37" i="5" l="1"/>
  <c r="B36" i="5"/>
  <c r="C36" i="5" s="1"/>
  <c r="H36" i="5" s="1"/>
  <c r="G36" i="5"/>
  <c r="A24" i="5"/>
  <c r="C24" i="5" s="1"/>
  <c r="G24" i="5"/>
  <c r="H23" i="5"/>
  <c r="B57" i="5"/>
  <c r="A58" i="5" s="1"/>
  <c r="E57" i="5"/>
  <c r="F57" i="5"/>
  <c r="E56" i="5"/>
  <c r="F37" i="5" l="1"/>
  <c r="A37" i="5"/>
  <c r="H24" i="5"/>
  <c r="B58" i="5"/>
  <c r="A59" i="5" s="1"/>
  <c r="E58" i="5"/>
  <c r="B37" i="5" l="1"/>
  <c r="C37" i="5" s="1"/>
  <c r="E38" i="5"/>
  <c r="G37" i="5"/>
  <c r="B59" i="5"/>
  <c r="A60" i="5" s="1"/>
  <c r="E59" i="5"/>
  <c r="F58" i="5"/>
  <c r="A38" i="5" l="1"/>
  <c r="F38" i="5"/>
  <c r="H37" i="5"/>
  <c r="B60" i="5"/>
  <c r="A61" i="5" s="1"/>
  <c r="E60" i="5"/>
  <c r="F60" i="5"/>
  <c r="F59" i="5"/>
  <c r="E39" i="5" l="1"/>
  <c r="B38" i="5"/>
  <c r="C38" i="5" s="1"/>
  <c r="H38" i="5" s="1"/>
  <c r="G38" i="5"/>
  <c r="B61" i="5"/>
  <c r="A62" i="5" s="1"/>
  <c r="F61" i="5"/>
  <c r="F39" i="5" l="1"/>
  <c r="A39" i="5"/>
  <c r="E62" i="5"/>
  <c r="F62" i="5"/>
  <c r="B75" i="5" s="1"/>
  <c r="E61" i="5"/>
  <c r="E40" i="5" l="1"/>
  <c r="B39" i="5"/>
  <c r="C39" i="5" s="1"/>
  <c r="H39" i="5" s="1"/>
  <c r="G39" i="5"/>
  <c r="B74" i="5"/>
  <c r="B66" i="5" s="1"/>
  <c r="A40" i="5" l="1"/>
  <c r="F40" i="5"/>
  <c r="D20" i="2"/>
  <c r="B80" i="5"/>
  <c r="C80" i="5" s="1"/>
  <c r="C66" i="5"/>
  <c r="E41" i="5" l="1"/>
  <c r="B40" i="5"/>
  <c r="C40" i="5" s="1"/>
  <c r="G40" i="5"/>
  <c r="C81" i="5"/>
  <c r="C82" i="5" s="1"/>
  <c r="C83" i="5" s="1"/>
  <c r="I19" i="5" s="1"/>
  <c r="H40" i="5" l="1"/>
  <c r="F41" i="5"/>
  <c r="A41" i="5"/>
  <c r="I17" i="5"/>
  <c r="I28" i="5"/>
  <c r="I31" i="5"/>
  <c r="I21" i="5"/>
  <c r="I24" i="5"/>
  <c r="I23" i="5"/>
  <c r="I35" i="5"/>
  <c r="I37" i="5"/>
  <c r="I25" i="5"/>
  <c r="I18" i="5"/>
  <c r="I20" i="5"/>
  <c r="D83" i="5"/>
  <c r="I41" i="5"/>
  <c r="I34" i="5"/>
  <c r="I22" i="5"/>
  <c r="I39" i="5"/>
  <c r="I33" i="5"/>
  <c r="I30" i="5"/>
  <c r="I27" i="5"/>
  <c r="I16" i="5"/>
  <c r="I15" i="5"/>
  <c r="I36" i="5"/>
  <c r="I38" i="5"/>
  <c r="I26" i="5"/>
  <c r="I29" i="5"/>
  <c r="I40" i="5"/>
  <c r="I32" i="5"/>
  <c r="B41" i="5" l="1"/>
  <c r="C41" i="5" s="1"/>
  <c r="E42" i="5"/>
  <c r="G41" i="5"/>
  <c r="A42" i="5" l="1"/>
  <c r="C42" i="5" s="1"/>
  <c r="H42" i="5" s="1"/>
  <c r="G42" i="5"/>
  <c r="I42" i="5"/>
  <c r="C84" i="5" s="1"/>
  <c r="D85" i="5" s="1"/>
  <c r="H41" i="5"/>
  <c r="C85" i="5" l="1"/>
  <c r="C86" i="5" s="1"/>
  <c r="C87" i="5" l="1"/>
  <c r="C88" i="5" s="1"/>
  <c r="D86" i="5"/>
  <c r="B88" i="5" s="1"/>
  <c r="B22" i="2" s="1"/>
  <c r="D22" i="2" s="1"/>
</calcChain>
</file>

<file path=xl/comments1.xml><?xml version="1.0" encoding="utf-8"?>
<comments xmlns="http://schemas.openxmlformats.org/spreadsheetml/2006/main">
  <authors>
    <author>bc25109</author>
  </authors>
  <commentList>
    <comment ref="D9" author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1" authorId="0">
      <text>
        <r>
          <rPr>
            <sz val="9"/>
            <color indexed="81"/>
            <rFont val="Arial"/>
            <family val="2"/>
          </rPr>
          <t xml:space="preserve">El plazo es fijo y el tipo de crédito es rotativo.
</t>
        </r>
      </text>
    </comment>
    <comment ref="D14" authorId="0">
      <text>
        <r>
          <rPr>
            <b/>
            <sz val="9"/>
            <color indexed="81"/>
            <rFont val="Arial"/>
            <family val="2"/>
          </rPr>
          <t xml:space="preserve">Ingreso mensual: </t>
        </r>
        <r>
          <rPr>
            <sz val="9"/>
            <color indexed="81"/>
            <rFont val="Arial"/>
            <family val="2"/>
          </rPr>
          <t>es el ingreso mínimo para solicitar una TDC.</t>
        </r>
      </text>
    </comment>
    <comment ref="D15" author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t>
        </r>
      </text>
    </comment>
    <comment ref="D16" authorId="0">
      <text>
        <r>
          <rPr>
            <b/>
            <sz val="9"/>
            <color indexed="81"/>
            <rFont val="Arial"/>
            <family val="2"/>
          </rPr>
          <t xml:space="preserve">Gastos financieros: </t>
        </r>
        <r>
          <rPr>
            <sz val="9"/>
            <color indexed="81"/>
            <rFont val="Arial"/>
            <family val="2"/>
          </rPr>
          <t xml:space="preserve">se considera gasto fianciero el valor de las cuotas que mensualmente son canceladas por el cliente por concepto de deudas financieras contraídas.
</t>
        </r>
      </text>
    </comment>
    <comment ref="D17" authorId="0">
      <text>
        <r>
          <rPr>
            <b/>
            <sz val="9"/>
            <color indexed="81"/>
            <rFont val="Arial"/>
            <family val="2"/>
          </rPr>
          <t xml:space="preserve">Cargas familiares: </t>
        </r>
        <r>
          <rPr>
            <sz val="9"/>
            <color indexed="81"/>
            <rFont val="Arial"/>
            <family val="2"/>
          </rPr>
          <t xml:space="preserve">son todas las personas que dependen económicamente del cliente y que son declaradas en la solicitud de crédito.
</t>
        </r>
      </text>
    </comment>
    <comment ref="D18" authorId="0">
      <text>
        <r>
          <rPr>
            <b/>
            <sz val="9"/>
            <color indexed="81"/>
            <rFont val="Arial"/>
            <family val="2"/>
          </rPr>
          <t xml:space="preserve">Experiencia crediticia bancaria previa: </t>
        </r>
        <r>
          <rPr>
            <sz val="9"/>
            <color indexed="81"/>
            <rFont val="Arial"/>
            <family val="2"/>
          </rPr>
          <t xml:space="preserve">considera si el cliente tiene o ha tenia créditos en Bancaribe o en cualquier otra entidad financiera. 
</t>
        </r>
      </text>
    </comment>
  </commentList>
</comments>
</file>

<file path=xl/sharedStrings.xml><?xml version="1.0" encoding="utf-8"?>
<sst xmlns="http://schemas.openxmlformats.org/spreadsheetml/2006/main" count="107" uniqueCount="66">
  <si>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</si>
  <si>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</si>
  <si>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</si>
  <si>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</si>
  <si>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</si>
  <si>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</si>
  <si>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</si>
  <si>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</si>
  <si>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</si>
  <si>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</si>
  <si>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</si>
  <si>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</si>
  <si>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</si>
  <si>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</si>
  <si>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</si>
  <si>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</si>
  <si>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</si>
  <si>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</si>
  <si>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*Campo Requerido</t>
  </si>
  <si>
    <t>SIMULACIÓN PARA "TARJETAS DE CRÉDITOS"</t>
  </si>
  <si>
    <t>MONTO ESTIMADO DEL CRÉDITO</t>
  </si>
  <si>
    <t>Plazo del crédito (N° de cuotas):</t>
  </si>
  <si>
    <t>Plazo promocional del crédito (N° de cuotas):</t>
  </si>
  <si>
    <t>Tasa promocional de Interés:</t>
  </si>
  <si>
    <t>Clásica</t>
  </si>
  <si>
    <t>Platinum</t>
  </si>
  <si>
    <t>Black/Signature</t>
  </si>
  <si>
    <t>Tipo de Cambio</t>
  </si>
  <si>
    <t>Otros ingresos</t>
  </si>
  <si>
    <t>Ingreso mensual declarado y demostrado</t>
  </si>
  <si>
    <t>Experiencia crediticia bancaria previa:</t>
  </si>
  <si>
    <t>Porción mensual del capital</t>
  </si>
  <si>
    <t>Porción mensula del interes</t>
  </si>
  <si>
    <t>Porción mensual</t>
  </si>
  <si>
    <t>Factor de redondeo</t>
  </si>
  <si>
    <t>Tipo de TDC</t>
  </si>
  <si>
    <t>Dorada</t>
  </si>
  <si>
    <t>Si</t>
  </si>
  <si>
    <t>No</t>
  </si>
  <si>
    <t>(ESTOS RESULTADOS NO COMPROMETEN AL BANCO AL MOMENTO DE LA APROBACIÓN)</t>
  </si>
  <si>
    <t>Límite inferior ($)</t>
  </si>
  <si>
    <t>Límite superior ($)</t>
  </si>
  <si>
    <t>Límites crédito estimado</t>
  </si>
  <si>
    <t>Límites según los ingresos declarados</t>
  </si>
  <si>
    <t>Ingresos declarados inferior (Bs)</t>
  </si>
  <si>
    <t>Ingresos declarados máxima (Bs)</t>
  </si>
  <si>
    <t>Ingreso declarado (Bs)</t>
  </si>
  <si>
    <t>Monto máximo del crédito a otorgar (Bs)</t>
  </si>
  <si>
    <t>Monto máximo del crédito a otorgar ($)</t>
  </si>
  <si>
    <t>Monto máximo del crédito a otorgar con redondeo ($)</t>
  </si>
  <si>
    <t>Monto definitivo ($)</t>
  </si>
  <si>
    <t>Monto definitivo (Bs)</t>
  </si>
  <si>
    <t>Total ingresos</t>
  </si>
  <si>
    <t>Tabla de Ajuste para el Total de Ingresos</t>
  </si>
  <si>
    <t>Rango (Bs)</t>
  </si>
  <si>
    <t>Rango ($)</t>
  </si>
  <si>
    <t>Pendiente($ / Bs)</t>
  </si>
  <si>
    <t>Límite ($)</t>
  </si>
  <si>
    <t>Monto del crédito según ingresos totales ($)</t>
  </si>
  <si>
    <t>Monto del crédito según ingresos totales con redondeo ($)</t>
  </si>
  <si>
    <t>Gastos financieros:</t>
  </si>
  <si>
    <t>Ingreso mensual:</t>
  </si>
  <si>
    <t>"El resultado obtenido es referencial y de carácter informativo; en consecuencia, no podrá interpretarse como aprobación de crédito"</t>
  </si>
  <si>
    <t xml:space="preserve">En este campo se refleja el monto estimado del límite de la tarjeta de crédito al que podría optar el cliente, en Bolívares. </t>
  </si>
  <si>
    <t>Ingreso mínimo (Sm)</t>
  </si>
  <si>
    <t>Otros ingresos adicionales mensuales: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</si>
</sst>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409]#,##0.00"/>
    <numFmt numFmtId="171" formatCode="_(* #,##0.000_);_(* \(#,##0.000\);_(* &quot;-&quot;??_);_(@_)"/>
    <numFmt numFmtId="172" formatCode="&quot;Bs&quot;\ #,##0.00"/>
  </numFmts>
  <fonts count="37"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color indexed="8"/>
      <name val="Arial"/>
      <family val="2"/>
    </font>
    <font>
      <sz val="10"/>
      <name val="Arial Narrow"/>
      <family val="2"/>
    </font>
    <font>
      <b/>
      <sz val="9"/>
      <color indexed="81"/>
      <name val="Arial"/>
      <family val="2"/>
    </font>
    <font>
      <sz val="9"/>
      <color indexed="81"/>
      <name val="Arial"/>
      <family val="2"/>
    </font>
    <font>
      <b/>
      <sz val="11"/>
      <color indexed="9"/>
      <name val="Arial"/>
      <family val="2"/>
    </font>
    <font>
      <sz val="9"/>
      <color theme="0"/>
      <name val="Arial"/>
      <family val="2"/>
    </font>
    <font>
      <sz val="10"/>
      <color theme="0"/>
      <name val="Arial"/>
      <family val="2"/>
    </font>
    <font>
      <sz val="8"/>
      <color theme="0"/>
      <name val="Arial"/>
      <family val="2"/>
    </font>
    <font>
      <b/>
      <i/>
      <sz val="12"/>
      <color theme="3"/>
      <name val="Arial"/>
      <family val="2"/>
    </font>
    <font>
      <b/>
      <sz val="18"/>
      <color theme="3"/>
      <name val="Arial"/>
      <family val="2"/>
    </font>
    <font>
      <b/>
      <sz val="11"/>
      <color theme="3"/>
      <name val="Arial"/>
      <family val="2"/>
    </font>
    <font>
      <b/>
      <sz val="10"/>
      <color theme="7"/>
      <name val="Arial"/>
      <family val="2"/>
    </font>
    <font>
      <b/>
      <sz val="10"/>
      <color theme="0"/>
      <name val="Arial"/>
      <family val="2"/>
    </font>
    <font>
      <b/>
      <i/>
      <sz val="14"/>
      <color theme="3"/>
      <name val="Arial"/>
      <family val="2"/>
    </font>
  </fonts>
  <fills count="11">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8" tint="-0.249977111117893"/>
        <bgColor indexed="64"/>
      </patternFill>
    </fill>
    <fill>
      <patternFill patternType="solid">
        <fgColor theme="3"/>
        <bgColor indexed="64"/>
      </patternFill>
    </fill>
  </fills>
  <borders count="10">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style="thick">
        <color indexed="9"/>
      </left>
      <right/>
      <top/>
      <bottom/>
      <diagonal/>
    </border>
    <border>
      <left/>
      <right/>
      <top style="thick">
        <color indexed="9"/>
      </top>
      <bottom/>
      <diagonal/>
    </border>
  </borders>
  <cellStyleXfs count="4">
    <xf numFmtId="0" fontId="0" fillId="0" borderId="0"/>
    <xf numFmtId="165" fontId="1" fillId="0" borderId="0" applyFont="0" applyFill="0" applyBorder="0" applyAlignment="0" applyProtection="0"/>
    <xf numFmtId="0" fontId="14" fillId="0" borderId="0"/>
    <xf numFmtId="9" fontId="1" fillId="0" borderId="0" applyFont="0" applyFill="0" applyBorder="0" applyAlignment="0" applyProtection="0"/>
  </cellStyleXfs>
  <cellXfs count="118">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2"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172"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166" fontId="21" fillId="4" borderId="1" xfId="1" applyNumberFormat="1" applyFont="1" applyFill="1" applyBorder="1" applyAlignment="1" applyProtection="1">
      <alignment horizontal="right" vertical="center"/>
      <protection locked="0"/>
    </xf>
    <xf numFmtId="10" fontId="21" fillId="4" borderId="1" xfId="3" applyNumberFormat="1" applyFont="1" applyFill="1" applyBorder="1" applyAlignment="1" applyProtection="1">
      <alignment vertical="center"/>
      <protection hidden="1"/>
    </xf>
    <xf numFmtId="0" fontId="21" fillId="4" borderId="1" xfId="3" applyNumberFormat="1" applyFont="1" applyFill="1" applyBorder="1" applyAlignment="1" applyProtection="1">
      <alignment horizontal="right" vertical="center"/>
      <protection hidden="1"/>
    </xf>
    <xf numFmtId="166" fontId="21" fillId="4" borderId="2" xfId="1" applyNumberFormat="1" applyFont="1" applyFill="1" applyBorder="1" applyAlignment="1" applyProtection="1">
      <alignment horizontal="right" vertical="center"/>
      <protection locked="0"/>
    </xf>
    <xf numFmtId="166" fontId="21" fillId="4" borderId="1" xfId="1" applyNumberFormat="1" applyFont="1" applyFill="1" applyBorder="1" applyAlignment="1" applyProtection="1">
      <alignment horizontal="right" vertical="center"/>
      <protection hidden="1"/>
    </xf>
    <xf numFmtId="172" fontId="22" fillId="4" borderId="1" xfId="0" applyNumberFormat="1" applyFont="1" applyFill="1" applyBorder="1" applyAlignment="1" applyProtection="1">
      <alignment horizontal="center" vertical="center" wrapText="1"/>
      <protection hidden="1"/>
    </xf>
    <xf numFmtId="0" fontId="16" fillId="0" borderId="0" xfId="0" applyFont="1" applyFill="1" applyAlignment="1" applyProtection="1">
      <alignment horizontal="right" vertical="center"/>
      <protection hidden="1"/>
    </xf>
    <xf numFmtId="0" fontId="0" fillId="0" borderId="0" xfId="0" applyBorder="1"/>
    <xf numFmtId="172"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14" fillId="0" borderId="0" xfId="0" applyFont="1"/>
    <xf numFmtId="0" fontId="14" fillId="0" borderId="0" xfId="0" applyNumberFormat="1" applyFont="1"/>
    <xf numFmtId="0" fontId="4" fillId="3" borderId="0" xfId="1" applyNumberFormat="1" applyFont="1" applyFill="1" applyAlignment="1">
      <alignment horizontal="center"/>
    </xf>
    <xf numFmtId="170" fontId="14" fillId="2" borderId="0" xfId="1" applyNumberFormat="1" applyFont="1" applyFill="1" applyAlignment="1"/>
    <xf numFmtId="170" fontId="4" fillId="3" borderId="0" xfId="1" applyNumberFormat="1" applyFont="1" applyFill="1"/>
    <xf numFmtId="10" fontId="21" fillId="4" borderId="1" xfId="3" applyNumberFormat="1" applyFont="1" applyFill="1" applyBorder="1" applyAlignment="1" applyProtection="1">
      <alignment vertical="center"/>
      <protection locked="0" hidden="1"/>
    </xf>
    <xf numFmtId="0" fontId="21" fillId="4" borderId="1" xfId="3" applyNumberFormat="1" applyFont="1" applyFill="1" applyBorder="1" applyAlignment="1" applyProtection="1">
      <alignment horizontal="right" vertical="center"/>
      <protection locked="0" hidden="1"/>
    </xf>
    <xf numFmtId="0" fontId="23" fillId="0" borderId="0" xfId="0" applyFont="1" applyFill="1" applyBorder="1" applyAlignment="1" applyProtection="1">
      <alignment horizontal="center" vertical="center"/>
      <protection hidden="1"/>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8" fillId="0" borderId="0" xfId="0" applyFont="1" applyAlignment="1" applyProtection="1">
      <alignment vertical="center"/>
      <protection hidden="1"/>
    </xf>
    <xf numFmtId="0" fontId="29" fillId="0" borderId="0" xfId="0" applyFont="1" applyAlignment="1" applyProtection="1">
      <alignment vertical="center"/>
      <protection hidden="1"/>
    </xf>
    <xf numFmtId="0" fontId="30" fillId="0" borderId="0" xfId="0" applyFont="1" applyBorder="1" applyAlignment="1" applyProtection="1">
      <alignment vertical="center"/>
      <protection hidden="1"/>
    </xf>
    <xf numFmtId="165" fontId="29" fillId="0" borderId="0" xfId="0" applyNumberFormat="1"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170" fontId="2" fillId="2" borderId="0" xfId="1" applyNumberFormat="1" applyFont="1" applyFill="1" applyAlignment="1">
      <alignment horizontal="center"/>
    </xf>
    <xf numFmtId="170" fontId="0" fillId="0" borderId="0" xfId="0" applyNumberFormat="1"/>
    <xf numFmtId="164" fontId="21" fillId="4" borderId="2" xfId="0" applyNumberFormat="1" applyFont="1" applyFill="1" applyBorder="1" applyAlignment="1" applyProtection="1">
      <alignment horizontal="right" vertical="center"/>
      <protection locked="0"/>
    </xf>
    <xf numFmtId="3" fontId="21" fillId="4" borderId="2" xfId="0" applyNumberFormat="1" applyFont="1" applyFill="1" applyBorder="1" applyAlignment="1" applyProtection="1">
      <alignment horizontal="right" vertical="center"/>
      <protection locked="0"/>
    </xf>
    <xf numFmtId="0" fontId="2" fillId="2" borderId="0" xfId="0" applyFont="1" applyFill="1"/>
    <xf numFmtId="172" fontId="0" fillId="0" borderId="0" xfId="0" applyNumberFormat="1"/>
    <xf numFmtId="172" fontId="14" fillId="0" borderId="0" xfId="1" applyNumberFormat="1" applyFont="1"/>
    <xf numFmtId="0" fontId="4" fillId="3" borderId="0" xfId="1" applyNumberFormat="1" applyFont="1" applyFill="1" applyBorder="1"/>
    <xf numFmtId="0" fontId="4" fillId="3" borderId="0" xfId="1" applyNumberFormat="1" applyFont="1" applyFill="1" applyBorder="1" applyAlignment="1">
      <alignment horizontal="center"/>
    </xf>
    <xf numFmtId="0" fontId="4" fillId="3" borderId="0" xfId="1" applyNumberFormat="1" applyFont="1" applyFill="1" applyAlignment="1">
      <alignment horizontal="left"/>
    </xf>
    <xf numFmtId="43" fontId="0" fillId="0" borderId="0" xfId="0" applyNumberFormat="1"/>
    <xf numFmtId="172" fontId="4" fillId="3" borderId="0" xfId="1" applyNumberFormat="1" applyFont="1" applyFill="1" applyAlignment="1">
      <alignment horizontal="right"/>
    </xf>
    <xf numFmtId="172" fontId="2" fillId="2" borderId="0" xfId="1" applyNumberFormat="1" applyFont="1" applyFill="1" applyAlignment="1">
      <alignment horizontal="right"/>
    </xf>
    <xf numFmtId="170" fontId="4" fillId="3" borderId="0" xfId="1" applyNumberFormat="1" applyFont="1" applyFill="1" applyAlignment="1">
      <alignment horizontal="right"/>
    </xf>
    <xf numFmtId="169" fontId="31" fillId="0" borderId="0" xfId="0" applyNumberFormat="1" applyFont="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4" fontId="24" fillId="5" borderId="0" xfId="0" applyNumberFormat="1" applyFont="1" applyFill="1" applyBorder="1" applyAlignment="1">
      <alignment horizontal="center"/>
    </xf>
    <xf numFmtId="165" fontId="2" fillId="5" borderId="0" xfId="1" applyNumberFormat="1" applyFont="1" applyFill="1"/>
    <xf numFmtId="0" fontId="4" fillId="5" borderId="0" xfId="1" applyNumberFormat="1" applyFont="1" applyFill="1" applyAlignment="1">
      <alignment horizontal="left"/>
    </xf>
    <xf numFmtId="4" fontId="24" fillId="6" borderId="0" xfId="0" applyNumberFormat="1" applyFont="1" applyFill="1" applyBorder="1" applyAlignment="1">
      <alignment horizontal="center"/>
    </xf>
    <xf numFmtId="165" fontId="2" fillId="6" borderId="0" xfId="1" applyNumberFormat="1" applyFont="1" applyFill="1"/>
    <xf numFmtId="0" fontId="4" fillId="6" borderId="0" xfId="1" applyNumberFormat="1" applyFont="1" applyFill="1" applyAlignment="1">
      <alignment horizontal="left"/>
    </xf>
    <xf numFmtId="4" fontId="24" fillId="7" borderId="0" xfId="0" applyNumberFormat="1" applyFont="1" applyFill="1" applyBorder="1" applyAlignment="1">
      <alignment horizontal="center"/>
    </xf>
    <xf numFmtId="165" fontId="2" fillId="7" borderId="0" xfId="1" applyNumberFormat="1" applyFont="1" applyFill="1"/>
    <xf numFmtId="0" fontId="4" fillId="7" borderId="0" xfId="1" applyNumberFormat="1" applyFont="1" applyFill="1" applyAlignment="1">
      <alignment horizontal="left"/>
    </xf>
    <xf numFmtId="4" fontId="24" fillId="8" borderId="0" xfId="0" applyNumberFormat="1" applyFont="1" applyFill="1" applyBorder="1" applyAlignment="1">
      <alignment horizontal="center"/>
    </xf>
    <xf numFmtId="165" fontId="2" fillId="8" borderId="0" xfId="1" applyNumberFormat="1" applyFont="1" applyFill="1"/>
    <xf numFmtId="0" fontId="4" fillId="8" borderId="0" xfId="1" applyNumberFormat="1" applyFont="1" applyFill="1" applyAlignment="1">
      <alignment horizontal="left"/>
    </xf>
    <xf numFmtId="0" fontId="14" fillId="0" borderId="0" xfId="2" applyFont="1" applyProtection="1">
      <protection hidden="1"/>
    </xf>
    <xf numFmtId="4" fontId="34" fillId="0" borderId="0" xfId="2" applyNumberFormat="1" applyFont="1" applyProtection="1">
      <protection hidden="1"/>
    </xf>
    <xf numFmtId="14" fontId="35" fillId="5" borderId="0" xfId="2" applyNumberFormat="1" applyFont="1" applyFill="1" applyProtection="1">
      <protection hidden="1"/>
    </xf>
    <xf numFmtId="4" fontId="35" fillId="5" borderId="0" xfId="2" applyNumberFormat="1" applyFont="1" applyFill="1" applyProtection="1">
      <protection hidden="1"/>
    </xf>
    <xf numFmtId="171" fontId="2" fillId="6" borderId="0" xfId="1" applyNumberFormat="1" applyFont="1" applyFill="1"/>
    <xf numFmtId="171" fontId="2" fillId="7" borderId="0" xfId="1" applyNumberFormat="1" applyFont="1" applyFill="1"/>
    <xf numFmtId="171" fontId="2" fillId="5" borderId="0" xfId="1" applyNumberFormat="1" applyFont="1" applyFill="1"/>
    <xf numFmtId="171" fontId="2" fillId="8" borderId="0" xfId="1" applyNumberFormat="1" applyFont="1" applyFill="1"/>
    <xf numFmtId="0" fontId="36" fillId="0" borderId="7" xfId="0" applyFont="1" applyBorder="1" applyAlignment="1" applyProtection="1">
      <alignment horizontal="right" vertical="center"/>
      <protection hidden="1"/>
    </xf>
    <xf numFmtId="0" fontId="36" fillId="0" borderId="4" xfId="0" applyFont="1" applyBorder="1" applyAlignment="1" applyProtection="1">
      <alignment horizontal="right" vertical="center"/>
      <protection hidden="1"/>
    </xf>
    <xf numFmtId="0" fontId="36" fillId="0" borderId="3" xfId="0" applyFont="1" applyFill="1" applyBorder="1" applyAlignment="1" applyProtection="1">
      <alignment horizontal="right" vertical="center" wrapText="1"/>
      <protection hidden="1"/>
    </xf>
    <xf numFmtId="0" fontId="36" fillId="0" borderId="4" xfId="0" applyFont="1" applyFill="1" applyBorder="1" applyAlignment="1" applyProtection="1">
      <alignment horizontal="right" vertical="center" wrapText="1"/>
      <protection hidden="1"/>
    </xf>
    <xf numFmtId="0" fontId="32" fillId="0" borderId="0"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15" fillId="9" borderId="0" xfId="0" applyFont="1" applyFill="1" applyBorder="1" applyAlignment="1" applyProtection="1">
      <alignment horizontal="center" vertical="center"/>
      <protection hidden="1"/>
    </xf>
    <xf numFmtId="0" fontId="27" fillId="9" borderId="1" xfId="0" applyFont="1" applyFill="1" applyBorder="1" applyAlignment="1" applyProtection="1">
      <alignment horizontal="center" vertical="center" wrapText="1"/>
      <protection hidden="1"/>
    </xf>
    <xf numFmtId="0" fontId="27" fillId="9" borderId="1" xfId="0" applyFont="1" applyFill="1" applyBorder="1" applyAlignment="1" applyProtection="1">
      <alignment horizontal="center" vertical="center"/>
      <protection hidden="1"/>
    </xf>
    <xf numFmtId="0" fontId="15" fillId="9" borderId="1"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wrapText="1"/>
      <protection hidden="1"/>
    </xf>
    <xf numFmtId="0" fontId="19" fillId="10" borderId="1" xfId="0" applyFont="1" applyFill="1" applyBorder="1" applyAlignment="1" applyProtection="1">
      <alignment horizontal="right" vertical="center"/>
      <protection hidden="1"/>
    </xf>
    <xf numFmtId="0" fontId="36" fillId="0" borderId="9" xfId="0" applyFont="1" applyFill="1" applyBorder="1" applyAlignment="1" applyProtection="1">
      <alignment horizontal="right" vertical="center" wrapText="1"/>
      <protection hidden="1"/>
    </xf>
    <xf numFmtId="0" fontId="0" fillId="0" borderId="4" xfId="0" applyBorder="1"/>
    <xf numFmtId="0" fontId="36" fillId="0" borderId="5" xfId="0" applyFont="1" applyFill="1" applyBorder="1" applyAlignment="1" applyProtection="1">
      <alignment horizontal="right" vertical="center" wrapText="1"/>
      <protection hidden="1"/>
    </xf>
    <xf numFmtId="0" fontId="36" fillId="0" borderId="6" xfId="0" applyFont="1" applyFill="1" applyBorder="1" applyAlignment="1" applyProtection="1">
      <alignment horizontal="right" vertical="center" wrapText="1"/>
      <protection hidden="1"/>
    </xf>
    <xf numFmtId="0" fontId="36" fillId="0" borderId="7" xfId="0" applyFont="1" applyFill="1" applyBorder="1" applyAlignment="1" applyProtection="1">
      <alignment horizontal="right" vertical="center" wrapText="1"/>
      <protection hidden="1"/>
    </xf>
    <xf numFmtId="0" fontId="20" fillId="0" borderId="8" xfId="0" applyFont="1" applyBorder="1" applyAlignment="1" applyProtection="1">
      <alignment horizontal="justify" vertical="justify"/>
      <protection hidden="1"/>
    </xf>
    <xf numFmtId="0" fontId="20" fillId="0" borderId="0" xfId="0" applyFont="1" applyAlignment="1" applyProtection="1">
      <alignment horizontal="justify" vertical="justify"/>
      <protection hidden="1"/>
    </xf>
    <xf numFmtId="0" fontId="1" fillId="0" borderId="0" xfId="0" applyFont="1"/>
  </cellXfs>
  <cellStyles count="4">
    <cellStyle name="Millares" xfId="1" builtinId="3"/>
    <cellStyle name="Normal" xfId="0" builtinId="0"/>
    <cellStyle name="Normal 2" xfId="2"/>
    <cellStyle name="Porcentaje" xfId="3" builtinId="5"/>
  </cellStyles>
  <dxfs count="2">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1</xdr:col>
      <xdr:colOff>152400</xdr:colOff>
      <xdr:row>3</xdr:row>
      <xdr:rowOff>104775</xdr:rowOff>
    </xdr:to>
    <xdr:pic>
      <xdr:nvPicPr>
        <xdr:cNvPr id="18525"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5" y="104775"/>
          <a:ext cx="1924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P26"/>
  <sheetViews>
    <sheetView showGridLines="0" showRowColHeaders="0" tabSelected="1" zoomScale="75" zoomScaleNormal="75" workbookViewId="0">
      <selection activeCell="D14" sqref="D14"/>
    </sheetView>
  </sheetViews>
  <sheetFormatPr baseColWidth="10" defaultColWidth="3.28515625" defaultRowHeight="0" customHeight="1" zeroHeight="1" x14ac:dyDescent="0.2"/>
  <cols>
    <col min="1" max="1" width="28.42578125" style="1" customWidth="1"/>
    <col min="2" max="2" width="40.28515625" style="1" customWidth="1"/>
    <col min="3" max="3" width="45.140625" style="14" customWidth="1"/>
    <col min="4" max="4" width="55.7109375" style="1" customWidth="1"/>
    <col min="5" max="5" width="17" style="1" customWidth="1"/>
    <col min="6" max="6" width="17.140625" style="1" customWidth="1"/>
    <col min="7" max="7" width="11" style="1" hidden="1" customWidth="1"/>
    <col min="8" max="8" width="3.7109375" style="1" hidden="1" customWidth="1"/>
    <col min="9" max="94" width="11.42578125" style="1" hidden="1" customWidth="1"/>
    <col min="95" max="254" width="11.42578125" style="1" customWidth="1"/>
    <col min="255" max="255" width="2.85546875" style="1" customWidth="1"/>
    <col min="256" max="16384" width="3.28515625" style="1"/>
  </cols>
  <sheetData>
    <row r="1" spans="1:7" s="2" customFormat="1" ht="16.5" customHeight="1" x14ac:dyDescent="0.2"/>
    <row r="2" spans="1:7" s="2" customFormat="1" ht="17.25" customHeight="1" x14ac:dyDescent="0.2">
      <c r="A2" s="102" t="s">
        <v>19</v>
      </c>
      <c r="B2" s="102"/>
      <c r="C2" s="102"/>
      <c r="D2" s="102"/>
      <c r="E2" s="102"/>
      <c r="F2" s="102"/>
      <c r="G2" s="102"/>
    </row>
    <row r="3" spans="1:7" s="2" customFormat="1" ht="8.25" customHeight="1" x14ac:dyDescent="0.2">
      <c r="A3" s="76"/>
      <c r="B3" s="76"/>
      <c r="C3" s="76"/>
      <c r="D3" s="76"/>
      <c r="E3" s="76"/>
      <c r="F3" s="76"/>
      <c r="G3" s="76"/>
    </row>
    <row r="4" spans="1:7" s="2" customFormat="1" ht="12.75" customHeight="1" x14ac:dyDescent="0.2">
      <c r="A4" s="103" t="s">
        <v>39</v>
      </c>
      <c r="B4" s="103"/>
      <c r="C4" s="103"/>
      <c r="D4" s="103"/>
      <c r="E4" s="103"/>
      <c r="F4" s="103"/>
      <c r="G4" s="103"/>
    </row>
    <row r="5" spans="1:7" s="2" customFormat="1" ht="12.75" customHeight="1" x14ac:dyDescent="0.2">
      <c r="A5" s="77"/>
      <c r="B5" s="77"/>
      <c r="C5" s="77"/>
      <c r="D5" s="77"/>
      <c r="E5" s="77"/>
      <c r="F5" s="77"/>
      <c r="G5" s="77"/>
    </row>
    <row r="6" spans="1:7" s="2" customFormat="1" ht="9" customHeight="1" x14ac:dyDescent="0.2">
      <c r="A6" s="26"/>
      <c r="B6" s="29"/>
      <c r="C6" s="29"/>
      <c r="D6" s="26"/>
      <c r="E6" s="1"/>
      <c r="F6" s="1"/>
      <c r="G6" s="29"/>
    </row>
    <row r="7" spans="1:7" s="2" customFormat="1" ht="24" customHeight="1" x14ac:dyDescent="0.3">
      <c r="A7" s="23"/>
      <c r="B7" s="28"/>
      <c r="C7" s="28"/>
      <c r="D7" s="27"/>
      <c r="E7" s="55"/>
      <c r="F7" s="55"/>
      <c r="G7" s="4"/>
    </row>
    <row r="8" spans="1:7" s="2" customFormat="1" ht="24" customHeight="1" thickBot="1" x14ac:dyDescent="0.25">
      <c r="B8" s="104" t="s">
        <v>14</v>
      </c>
      <c r="C8" s="104"/>
      <c r="D8" s="104"/>
      <c r="E8" s="37"/>
      <c r="F8" s="37"/>
      <c r="G8" s="52"/>
    </row>
    <row r="9" spans="1:7" s="5" customFormat="1" ht="20.25" thickTop="1" thickBot="1" x14ac:dyDescent="0.25">
      <c r="A9" s="21"/>
      <c r="B9" s="98" t="s">
        <v>13</v>
      </c>
      <c r="C9" s="99"/>
      <c r="D9" s="32">
        <f>IF(OR(D10="",D10=0),29%,IF(D10&gt;29%,"Verificar el plazo promocional",D10))</f>
        <v>0.28999999999999998</v>
      </c>
      <c r="E9" s="4"/>
      <c r="F9" s="4"/>
      <c r="G9" s="4"/>
    </row>
    <row r="10" spans="1:7" s="5" customFormat="1" ht="20.25" hidden="1" thickTop="1" thickBot="1" x14ac:dyDescent="0.25">
      <c r="A10" s="21"/>
      <c r="B10" s="98" t="s">
        <v>23</v>
      </c>
      <c r="C10" s="99"/>
      <c r="D10" s="50"/>
      <c r="E10" s="4"/>
      <c r="F10" s="4"/>
      <c r="G10" s="4"/>
    </row>
    <row r="11" spans="1:7" s="2" customFormat="1" ht="20.25" thickTop="1" thickBot="1" x14ac:dyDescent="0.25">
      <c r="A11" s="22"/>
      <c r="B11" s="98" t="s">
        <v>21</v>
      </c>
      <c r="C11" s="99"/>
      <c r="D11" s="33">
        <f>IF(OR(D12="",D12=0),36,IF(D12&gt;36,"Verificar el plazo promocional",D12))</f>
        <v>36</v>
      </c>
    </row>
    <row r="12" spans="1:7" s="2" customFormat="1" ht="20.25" hidden="1" thickTop="1" thickBot="1" x14ac:dyDescent="0.25">
      <c r="A12" s="6"/>
      <c r="B12" s="98" t="s">
        <v>22</v>
      </c>
      <c r="C12" s="99"/>
      <c r="D12" s="51"/>
    </row>
    <row r="13" spans="1:7" ht="24" customHeight="1" thickTop="1" thickBot="1" x14ac:dyDescent="0.25">
      <c r="A13" s="7"/>
      <c r="B13" s="104" t="s">
        <v>16</v>
      </c>
      <c r="C13" s="104"/>
      <c r="D13" s="104"/>
      <c r="E13" s="7"/>
      <c r="F13" s="7"/>
      <c r="G13" s="7"/>
    </row>
    <row r="14" spans="1:7" s="2" customFormat="1" ht="18.75" customHeight="1" thickTop="1" thickBot="1" x14ac:dyDescent="0.25">
      <c r="B14" s="110" t="s">
        <v>61</v>
      </c>
      <c r="C14" s="110"/>
      <c r="D14" s="31"/>
      <c r="E14" s="30" t="s">
        <v>18</v>
      </c>
      <c r="F14" s="30"/>
      <c r="G14" s="56">
        <f>+Factor!C2</f>
        <v>1000000</v>
      </c>
    </row>
    <row r="15" spans="1:7" s="2" customFormat="1" ht="20.25" customHeight="1" thickTop="1" thickBot="1" x14ac:dyDescent="0.25">
      <c r="B15" s="100" t="s">
        <v>65</v>
      </c>
      <c r="C15" s="101"/>
      <c r="D15" s="34"/>
      <c r="E15" s="30"/>
      <c r="F15" s="30"/>
      <c r="G15" s="57"/>
    </row>
    <row r="16" spans="1:7" s="2" customFormat="1" ht="20.25" thickTop="1" thickBot="1" x14ac:dyDescent="0.25">
      <c r="A16" s="1"/>
      <c r="B16" s="100" t="s">
        <v>60</v>
      </c>
      <c r="C16" s="111"/>
      <c r="D16" s="34"/>
      <c r="E16" s="30" t="s">
        <v>18</v>
      </c>
      <c r="F16" s="30"/>
      <c r="G16" s="58"/>
    </row>
    <row r="17" spans="1:7" ht="20.25" thickTop="1" thickBot="1" x14ac:dyDescent="0.25">
      <c r="A17" s="8"/>
      <c r="B17" s="112" t="s">
        <v>15</v>
      </c>
      <c r="C17" s="113"/>
      <c r="D17" s="64"/>
      <c r="E17" s="30" t="s">
        <v>18</v>
      </c>
      <c r="F17" s="30"/>
      <c r="G17" s="59"/>
    </row>
    <row r="18" spans="1:7" ht="20.25" thickTop="1" thickBot="1" x14ac:dyDescent="0.25">
      <c r="A18" s="8"/>
      <c r="B18" s="114" t="s">
        <v>30</v>
      </c>
      <c r="C18" s="101"/>
      <c r="D18" s="63"/>
      <c r="E18" s="30" t="s">
        <v>18</v>
      </c>
      <c r="F18" s="30"/>
      <c r="G18" s="60" t="s">
        <v>37</v>
      </c>
    </row>
    <row r="19" spans="1:7" ht="20.25" hidden="1" thickTop="1" thickBot="1" x14ac:dyDescent="0.25">
      <c r="A19" s="10"/>
      <c r="B19" s="109" t="s">
        <v>5</v>
      </c>
      <c r="C19" s="109"/>
      <c r="D19" s="35">
        <f>+Factor!B76</f>
        <v>0</v>
      </c>
      <c r="E19" s="15"/>
      <c r="F19" s="15"/>
      <c r="G19" s="60" t="s">
        <v>38</v>
      </c>
    </row>
    <row r="20" spans="1:7" s="3" customFormat="1" ht="17.25" hidden="1" customHeight="1" thickTop="1" thickBot="1" x14ac:dyDescent="0.25">
      <c r="A20" s="9"/>
      <c r="B20" s="109" t="s">
        <v>2</v>
      </c>
      <c r="C20" s="109"/>
      <c r="D20" s="35">
        <f>+Factor!B66</f>
        <v>0</v>
      </c>
      <c r="G20" s="57"/>
    </row>
    <row r="21" spans="1:7" s="3" customFormat="1" ht="19.5" thickTop="1" thickBot="1" x14ac:dyDescent="0.25">
      <c r="A21" s="2"/>
      <c r="B21" s="107" t="s">
        <v>20</v>
      </c>
      <c r="C21" s="107"/>
      <c r="D21" s="107"/>
      <c r="E21" s="2"/>
      <c r="F21" s="2"/>
      <c r="G21" s="57"/>
    </row>
    <row r="22" spans="1:7" s="2" customFormat="1" ht="49.5" customHeight="1" thickTop="1" thickBot="1" x14ac:dyDescent="0.25">
      <c r="A22" s="10"/>
      <c r="B22" s="108" t="str">
        <f>+IF(OR(D14="",D16="",D17="",D18=""),"",IF(OR(Factor!B66&lt;=0,Factor!B76&lt;=0,Factor!B80&lt;=0),"Capacidad de Pago Insuficiente",Factor!B88))</f>
        <v/>
      </c>
      <c r="C22" s="108"/>
      <c r="D22" s="36" t="str">
        <f>+IF(OR(D14="",D16="",D17="",D18="",B22="Capacidad de Pago Insuficiente",B22="Sin capacidad para endeudamientos adicionales"),"",Factor!C88)</f>
        <v/>
      </c>
      <c r="E22" s="115" t="s">
        <v>63</v>
      </c>
      <c r="F22" s="116"/>
    </row>
    <row r="23" spans="1:7" s="2" customFormat="1" ht="21.75" thickTop="1" thickBot="1" x14ac:dyDescent="0.25">
      <c r="A23" s="10"/>
      <c r="B23" s="25"/>
      <c r="C23" s="25"/>
      <c r="D23" s="24"/>
    </row>
    <row r="24" spans="1:7" s="2" customFormat="1" ht="24" customHeight="1" thickTop="1" thickBot="1" x14ac:dyDescent="0.25">
      <c r="A24" s="13"/>
      <c r="B24" s="11"/>
      <c r="C24" s="12"/>
      <c r="D24" s="75">
        <f ca="1">TODAY()</f>
        <v>43259</v>
      </c>
      <c r="E24" s="13"/>
      <c r="F24" s="13"/>
      <c r="G24" s="13"/>
    </row>
    <row r="25" spans="1:7" s="2" customFormat="1" ht="19.5" thickTop="1" thickBot="1" x14ac:dyDescent="0.25">
      <c r="A25" s="13"/>
      <c r="B25" s="105" t="s">
        <v>62</v>
      </c>
      <c r="C25" s="106"/>
      <c r="D25" s="106"/>
      <c r="E25" s="13"/>
      <c r="F25" s="13"/>
      <c r="G25" s="13"/>
    </row>
    <row r="26" spans="1:7" s="2" customFormat="1" ht="23.25" customHeight="1" thickTop="1" x14ac:dyDescent="0.2">
      <c r="A26" s="13"/>
      <c r="B26" s="53"/>
      <c r="C26" s="54"/>
      <c r="D26" s="54"/>
      <c r="E26" s="13"/>
      <c r="F26" s="13"/>
    </row>
  </sheetData>
  <sheetProtection password="CB1F" sheet="1" objects="1" scenarios="1" selectLockedCells="1"/>
  <dataConsolidate/>
  <mergeCells count="19">
    <mergeCell ref="E22:F22"/>
    <mergeCell ref="B9:C9"/>
    <mergeCell ref="B10:C10"/>
    <mergeCell ref="B25:D25"/>
    <mergeCell ref="B13:D13"/>
    <mergeCell ref="B21:D21"/>
    <mergeCell ref="B22:C22"/>
    <mergeCell ref="B19:C19"/>
    <mergeCell ref="B20:C20"/>
    <mergeCell ref="B14:C14"/>
    <mergeCell ref="B16:C16"/>
    <mergeCell ref="B17:C17"/>
    <mergeCell ref="B18:C18"/>
    <mergeCell ref="B11:C11"/>
    <mergeCell ref="B12:C12"/>
    <mergeCell ref="B15:C15"/>
    <mergeCell ref="A2:G2"/>
    <mergeCell ref="A4:G4"/>
    <mergeCell ref="B8:D8"/>
  </mergeCells>
  <phoneticPr fontId="3" type="noConversion"/>
  <conditionalFormatting sqref="A20">
    <cfRule type="cellIs" dxfId="1" priority="14" stopIfTrue="1" operator="equal">
      <formula>"""Nivel de ingreso SATISFACTORIO para Crédito solicitado"""</formula>
    </cfRule>
  </conditionalFormatting>
  <conditionalFormatting sqref="B22:C22">
    <cfRule type="expression" dxfId="0" priority="21" stopIfTrue="1">
      <formula>OR($B$22="Capacidad de Pago Insuficiente",$B$22="Sin capacidad para endeudamientos adicionales")</formula>
    </cfRule>
  </conditionalFormatting>
  <dataValidations xWindow="652" yWindow="589" count="5">
    <dataValidation type="decimal" allowBlank="1" showErrorMessage="1" errorTitle="Error en Valor Ingresado" error="Ingreso Familiar Mensual fuera de los parametros de salario mínimo establecidos para este producto." sqref="D14">
      <formula1>G14</formula1>
      <formula2>99999999999.99</formula2>
    </dataValidation>
    <dataValidation type="whole" allowBlank="1" showErrorMessage="1" errorTitle="Error en Valor Ingresado" error="Por favor verifique el valor ingresado, el cual debe ser igual o mayor a 0_x000a_" promptTitle="Carga Familiar no incluye al Sol" sqref="D17">
      <formula1>0</formula1>
      <formula2>99</formula2>
    </dataValidation>
    <dataValidation type="decimal" allowBlank="1" showErrorMessage="1" errorTitle="Error en Valor Ingresado" error="Por favor verifique el valor ingresado, el cual debe ser igual o mayor a 0" sqref="D15:D16">
      <formula1>0</formula1>
      <formula2>99999999999.99</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G8"/>
    <dataValidation type="list" allowBlank="1" showErrorMessage="1" error="_x000a_" promptTitle="Carga Familiar no incluye al Sol" sqref="D18">
      <formula1>$G$18:$G$19</formula1>
    </dataValidation>
  </dataValidations>
  <printOptions horizontalCentered="1"/>
  <pageMargins left="0.196850393700787" right="0" top="0.34055118099999998" bottom="0.39370078740157499" header="0" footer="0"/>
  <pageSetup scale="50"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88"/>
  <sheetViews>
    <sheetView topLeftCell="A11" zoomScale="80" zoomScaleNormal="80" workbookViewId="0">
      <selection activeCell="A48" sqref="A48"/>
    </sheetView>
  </sheetViews>
  <sheetFormatPr baseColWidth="10" defaultRowHeight="12.75" x14ac:dyDescent="0.2"/>
  <cols>
    <col min="1" max="1" width="60.85546875" bestFit="1" customWidth="1"/>
    <col min="2" max="2" width="20.5703125" customWidth="1"/>
    <col min="3" max="3" width="22.42578125" customWidth="1"/>
    <col min="4" max="4" width="21.5703125" bestFit="1" customWidth="1"/>
    <col min="5" max="6" width="17.5703125" bestFit="1" customWidth="1"/>
    <col min="7" max="7" width="15.85546875" customWidth="1"/>
    <col min="8" max="8" width="16.42578125" bestFit="1" customWidth="1"/>
    <col min="9" max="9" width="15.42578125" bestFit="1" customWidth="1"/>
    <col min="10" max="10" width="16.140625" bestFit="1" customWidth="1"/>
  </cols>
  <sheetData>
    <row r="1" spans="1:12" x14ac:dyDescent="0.2">
      <c r="A1" s="18" t="s">
        <v>27</v>
      </c>
      <c r="B1" s="20">
        <f ca="1">+TODAY()</f>
        <v>43259</v>
      </c>
      <c r="C1" s="19">
        <v>1000</v>
      </c>
      <c r="D1">
        <v>6.3</v>
      </c>
      <c r="E1" s="90"/>
      <c r="F1" s="91">
        <v>6746.98</v>
      </c>
    </row>
    <row r="2" spans="1:12" x14ac:dyDescent="0.2">
      <c r="A2" s="18" t="s">
        <v>64</v>
      </c>
      <c r="B2" s="20">
        <f ca="1">+TODAY()</f>
        <v>43259</v>
      </c>
      <c r="C2" s="19">
        <v>1000000</v>
      </c>
      <c r="E2" s="92">
        <v>42186</v>
      </c>
      <c r="F2" s="93">
        <v>7421.68</v>
      </c>
    </row>
    <row r="3" spans="1:12" x14ac:dyDescent="0.2">
      <c r="A3" s="18" t="s">
        <v>17</v>
      </c>
      <c r="B3" s="20">
        <f ca="1">+B2</f>
        <v>43259</v>
      </c>
      <c r="C3" s="19">
        <v>850</v>
      </c>
    </row>
    <row r="4" spans="1:12" x14ac:dyDescent="0.2">
      <c r="A4" s="18" t="s">
        <v>34</v>
      </c>
      <c r="B4" s="20">
        <f ca="1">+B3</f>
        <v>43259</v>
      </c>
      <c r="C4" s="49">
        <v>10</v>
      </c>
    </row>
    <row r="6" spans="1:12" x14ac:dyDescent="0.2">
      <c r="A6" s="18" t="s">
        <v>42</v>
      </c>
    </row>
    <row r="7" spans="1:12" x14ac:dyDescent="0.2">
      <c r="A7" s="18" t="s">
        <v>35</v>
      </c>
      <c r="B7" s="18" t="s">
        <v>40</v>
      </c>
      <c r="C7" s="18" t="s">
        <v>41</v>
      </c>
    </row>
    <row r="8" spans="1:12" x14ac:dyDescent="0.2">
      <c r="A8" s="18" t="s">
        <v>24</v>
      </c>
      <c r="B8" s="81">
        <f>+E15</f>
        <v>10000</v>
      </c>
      <c r="C8" s="81">
        <f>+F17</f>
        <v>20000</v>
      </c>
    </row>
    <row r="9" spans="1:12" x14ac:dyDescent="0.2">
      <c r="A9" s="18" t="s">
        <v>36</v>
      </c>
      <c r="B9" s="84">
        <f>+E18</f>
        <v>20000.009999999998</v>
      </c>
      <c r="C9" s="84">
        <f>+F24</f>
        <v>50000</v>
      </c>
    </row>
    <row r="10" spans="1:12" x14ac:dyDescent="0.2">
      <c r="A10" s="18" t="s">
        <v>25</v>
      </c>
      <c r="B10" s="78">
        <f>+E25</f>
        <v>50000.01</v>
      </c>
      <c r="C10" s="78">
        <f>+F30</f>
        <v>80000</v>
      </c>
    </row>
    <row r="11" spans="1:12" x14ac:dyDescent="0.2">
      <c r="A11" s="18" t="s">
        <v>26</v>
      </c>
      <c r="B11" s="87">
        <f>+E31</f>
        <v>80000.009999999995</v>
      </c>
      <c r="C11" s="87">
        <f>+F42</f>
        <v>102000</v>
      </c>
    </row>
    <row r="13" spans="1:12" x14ac:dyDescent="0.2">
      <c r="A13" s="68" t="s">
        <v>43</v>
      </c>
      <c r="B13" s="38"/>
      <c r="C13" s="38"/>
      <c r="D13" s="38"/>
      <c r="E13" s="38"/>
    </row>
    <row r="14" spans="1:12" x14ac:dyDescent="0.2">
      <c r="A14" s="69" t="s">
        <v>44</v>
      </c>
      <c r="B14" s="69" t="s">
        <v>45</v>
      </c>
      <c r="C14" s="69" t="s">
        <v>54</v>
      </c>
      <c r="D14" s="69" t="s">
        <v>46</v>
      </c>
      <c r="E14" s="47" t="s">
        <v>40</v>
      </c>
      <c r="F14" s="47" t="s">
        <v>41</v>
      </c>
      <c r="G14" s="69" t="s">
        <v>55</v>
      </c>
      <c r="H14" s="69" t="s">
        <v>56</v>
      </c>
      <c r="I14" s="47" t="s">
        <v>57</v>
      </c>
      <c r="J14" s="70" t="s">
        <v>35</v>
      </c>
    </row>
    <row r="15" spans="1:12" x14ac:dyDescent="0.2">
      <c r="A15" s="81">
        <f>+E15*$C$1</f>
        <v>10000000</v>
      </c>
      <c r="B15" s="81">
        <f>+F15*$C$1</f>
        <v>13333333.333333334</v>
      </c>
      <c r="C15" s="82">
        <f>+B15-A15</f>
        <v>3333333.333333334</v>
      </c>
      <c r="D15" s="82"/>
      <c r="E15" s="81">
        <v>10000</v>
      </c>
      <c r="F15" s="81">
        <f>+E15+$L$15</f>
        <v>13333.333333333334</v>
      </c>
      <c r="G15" s="82">
        <f>+F15-E15</f>
        <v>3333.3333333333339</v>
      </c>
      <c r="H15" s="94">
        <f>+G15/C15</f>
        <v>1E-3</v>
      </c>
      <c r="I15" s="82" t="str">
        <f t="shared" ref="I15:I25" si="0">IF(AND($C$83&gt;=E15,$C$83&lt;=F15),$C$83,"")</f>
        <v/>
      </c>
      <c r="J15" s="83" t="s">
        <v>24</v>
      </c>
      <c r="L15">
        <f>+(F17-E15)/3</f>
        <v>3333.3333333333335</v>
      </c>
    </row>
    <row r="16" spans="1:12" x14ac:dyDescent="0.2">
      <c r="A16" s="81">
        <f t="shared" ref="A16:A42" si="1">+E16*$C$1</f>
        <v>13333343.333333334</v>
      </c>
      <c r="B16" s="81">
        <f t="shared" ref="B16:B42" si="2">+F16*$C$1</f>
        <v>16666676.666666666</v>
      </c>
      <c r="C16" s="82">
        <f t="shared" ref="C16:C42" si="3">+B16-A16</f>
        <v>3333333.3333333321</v>
      </c>
      <c r="D16" s="82"/>
      <c r="E16" s="81">
        <f>+F15+0.01</f>
        <v>13333.343333333334</v>
      </c>
      <c r="F16" s="81">
        <f t="shared" ref="F16:F18" si="4">+E16+$L$15</f>
        <v>16666.676666666666</v>
      </c>
      <c r="G16" s="82">
        <f t="shared" ref="G16:G42" si="5">+F16-E16</f>
        <v>3333.3333333333321</v>
      </c>
      <c r="H16" s="94">
        <f t="shared" ref="H16:H42" si="6">+G16/C16</f>
        <v>1E-3</v>
      </c>
      <c r="I16" s="82" t="str">
        <f t="shared" si="0"/>
        <v/>
      </c>
      <c r="J16" s="83" t="s">
        <v>24</v>
      </c>
    </row>
    <row r="17" spans="1:12" x14ac:dyDescent="0.2">
      <c r="A17" s="81">
        <f t="shared" si="1"/>
        <v>16666686.666666664</v>
      </c>
      <c r="B17" s="81">
        <f t="shared" si="2"/>
        <v>20000000</v>
      </c>
      <c r="C17" s="82">
        <f t="shared" si="3"/>
        <v>3333313.3333333358</v>
      </c>
      <c r="D17" s="82"/>
      <c r="E17" s="81">
        <f t="shared" ref="E17:E42" si="7">+F16+0.01</f>
        <v>16666.686666666665</v>
      </c>
      <c r="F17" s="81">
        <v>20000</v>
      </c>
      <c r="G17" s="82">
        <f t="shared" si="5"/>
        <v>3333.3133333333353</v>
      </c>
      <c r="H17" s="94">
        <f t="shared" si="6"/>
        <v>9.999999999999998E-4</v>
      </c>
      <c r="I17" s="82" t="str">
        <f t="shared" si="0"/>
        <v/>
      </c>
      <c r="J17" s="83" t="s">
        <v>24</v>
      </c>
    </row>
    <row r="18" spans="1:12" x14ac:dyDescent="0.2">
      <c r="A18" s="84">
        <f t="shared" si="1"/>
        <v>20000010</v>
      </c>
      <c r="B18" s="84">
        <f t="shared" si="2"/>
        <v>24285724.285714284</v>
      </c>
      <c r="C18" s="85">
        <f t="shared" si="3"/>
        <v>4285714.2857142836</v>
      </c>
      <c r="D18" s="85"/>
      <c r="E18" s="84">
        <f t="shared" si="7"/>
        <v>20000.009999999998</v>
      </c>
      <c r="F18" s="84">
        <f>+E18+$L$18</f>
        <v>24285.724285714285</v>
      </c>
      <c r="G18" s="85">
        <f t="shared" si="5"/>
        <v>4285.7142857142862</v>
      </c>
      <c r="H18" s="95">
        <f t="shared" si="6"/>
        <v>1.0000000000000007E-3</v>
      </c>
      <c r="I18" s="85" t="str">
        <f t="shared" si="0"/>
        <v/>
      </c>
      <c r="J18" s="86" t="s">
        <v>36</v>
      </c>
      <c r="L18">
        <f>+(F24-F17)/7</f>
        <v>4285.7142857142853</v>
      </c>
    </row>
    <row r="19" spans="1:12" x14ac:dyDescent="0.2">
      <c r="A19" s="84">
        <f t="shared" si="1"/>
        <v>24285734.285714284</v>
      </c>
      <c r="B19" s="84">
        <f t="shared" si="2"/>
        <v>28571448.571428571</v>
      </c>
      <c r="C19" s="85">
        <f t="shared" si="3"/>
        <v>4285714.2857142873</v>
      </c>
      <c r="D19" s="85"/>
      <c r="E19" s="84">
        <f t="shared" si="7"/>
        <v>24285.734285714283</v>
      </c>
      <c r="F19" s="84">
        <f t="shared" ref="F19:F25" si="8">+E19+$L$18</f>
        <v>28571.448571428569</v>
      </c>
      <c r="G19" s="85">
        <f t="shared" si="5"/>
        <v>4285.7142857142862</v>
      </c>
      <c r="H19" s="95">
        <f t="shared" si="6"/>
        <v>9.999999999999998E-4</v>
      </c>
      <c r="I19" s="85" t="str">
        <f t="shared" si="0"/>
        <v/>
      </c>
      <c r="J19" s="86" t="s">
        <v>36</v>
      </c>
    </row>
    <row r="20" spans="1:12" x14ac:dyDescent="0.2">
      <c r="A20" s="84">
        <f t="shared" si="1"/>
        <v>28571458.571428567</v>
      </c>
      <c r="B20" s="84">
        <f t="shared" si="2"/>
        <v>32857172.857142854</v>
      </c>
      <c r="C20" s="85">
        <f t="shared" si="3"/>
        <v>4285714.2857142873</v>
      </c>
      <c r="D20" s="85"/>
      <c r="E20" s="84">
        <f t="shared" si="7"/>
        <v>28571.458571428568</v>
      </c>
      <c r="F20" s="84">
        <f t="shared" si="8"/>
        <v>32857.172857142854</v>
      </c>
      <c r="G20" s="85">
        <f t="shared" si="5"/>
        <v>4285.7142857142862</v>
      </c>
      <c r="H20" s="95">
        <f t="shared" si="6"/>
        <v>9.999999999999998E-4</v>
      </c>
      <c r="I20" s="85" t="str">
        <f t="shared" si="0"/>
        <v/>
      </c>
      <c r="J20" s="86" t="s">
        <v>36</v>
      </c>
    </row>
    <row r="21" spans="1:12" x14ac:dyDescent="0.2">
      <c r="A21" s="84">
        <f t="shared" si="1"/>
        <v>32857182.857142854</v>
      </c>
      <c r="B21" s="84">
        <f t="shared" si="2"/>
        <v>37142897.142857142</v>
      </c>
      <c r="C21" s="85">
        <f t="shared" si="3"/>
        <v>4285714.2857142873</v>
      </c>
      <c r="D21" s="85"/>
      <c r="E21" s="84">
        <f t="shared" si="7"/>
        <v>32857.182857142856</v>
      </c>
      <c r="F21" s="84">
        <f t="shared" si="8"/>
        <v>37142.897142857139</v>
      </c>
      <c r="G21" s="85">
        <f t="shared" si="5"/>
        <v>4285.7142857142826</v>
      </c>
      <c r="H21" s="95">
        <f t="shared" si="6"/>
        <v>9.9999999999999894E-4</v>
      </c>
      <c r="I21" s="85" t="str">
        <f t="shared" si="0"/>
        <v/>
      </c>
      <c r="J21" s="86" t="s">
        <v>36</v>
      </c>
    </row>
    <row r="22" spans="1:12" x14ac:dyDescent="0.2">
      <c r="A22" s="84">
        <f t="shared" si="1"/>
        <v>37142907.142857142</v>
      </c>
      <c r="B22" s="84">
        <f t="shared" si="2"/>
        <v>41428621.428571425</v>
      </c>
      <c r="C22" s="85">
        <f t="shared" si="3"/>
        <v>4285714.2857142836</v>
      </c>
      <c r="D22" s="85"/>
      <c r="E22" s="84">
        <f t="shared" si="7"/>
        <v>37142.907142857141</v>
      </c>
      <c r="F22" s="84">
        <f t="shared" si="8"/>
        <v>41428.621428571423</v>
      </c>
      <c r="G22" s="85">
        <f t="shared" si="5"/>
        <v>4285.7142857142826</v>
      </c>
      <c r="H22" s="95">
        <f t="shared" si="6"/>
        <v>9.999999999999998E-4</v>
      </c>
      <c r="I22" s="85" t="str">
        <f t="shared" si="0"/>
        <v/>
      </c>
      <c r="J22" s="86" t="s">
        <v>36</v>
      </c>
    </row>
    <row r="23" spans="1:12" x14ac:dyDescent="0.2">
      <c r="A23" s="84">
        <f t="shared" si="1"/>
        <v>41428631.428571425</v>
      </c>
      <c r="B23" s="84">
        <f t="shared" si="2"/>
        <v>45714345.714285709</v>
      </c>
      <c r="C23" s="85">
        <f t="shared" si="3"/>
        <v>4285714.2857142836</v>
      </c>
      <c r="D23" s="85"/>
      <c r="E23" s="84">
        <f t="shared" si="7"/>
        <v>41428.631428571425</v>
      </c>
      <c r="F23" s="84">
        <f t="shared" si="8"/>
        <v>45714.345714285708</v>
      </c>
      <c r="G23" s="85">
        <f t="shared" si="5"/>
        <v>4285.7142857142826</v>
      </c>
      <c r="H23" s="95">
        <f t="shared" si="6"/>
        <v>9.999999999999998E-4</v>
      </c>
      <c r="I23" s="85" t="str">
        <f t="shared" si="0"/>
        <v/>
      </c>
      <c r="J23" s="86" t="s">
        <v>36</v>
      </c>
    </row>
    <row r="24" spans="1:12" x14ac:dyDescent="0.2">
      <c r="A24" s="84">
        <f t="shared" si="1"/>
        <v>45714355.714285709</v>
      </c>
      <c r="B24" s="84">
        <f t="shared" si="2"/>
        <v>50000000</v>
      </c>
      <c r="C24" s="85">
        <f t="shared" si="3"/>
        <v>4285644.285714291</v>
      </c>
      <c r="D24" s="85"/>
      <c r="E24" s="84">
        <f t="shared" si="7"/>
        <v>45714.35571428571</v>
      </c>
      <c r="F24" s="84">
        <v>50000</v>
      </c>
      <c r="G24" s="85">
        <f t="shared" si="5"/>
        <v>4285.6442857142902</v>
      </c>
      <c r="H24" s="95">
        <f t="shared" si="6"/>
        <v>9.999999999999998E-4</v>
      </c>
      <c r="I24" s="85" t="str">
        <f t="shared" si="0"/>
        <v/>
      </c>
      <c r="J24" s="86" t="s">
        <v>36</v>
      </c>
    </row>
    <row r="25" spans="1:12" x14ac:dyDescent="0.2">
      <c r="A25" s="78">
        <f t="shared" si="1"/>
        <v>50000010</v>
      </c>
      <c r="B25" s="78">
        <f t="shared" si="2"/>
        <v>55000010</v>
      </c>
      <c r="C25" s="79">
        <f t="shared" si="3"/>
        <v>5000000</v>
      </c>
      <c r="D25" s="79"/>
      <c r="E25" s="78">
        <f t="shared" si="7"/>
        <v>50000.01</v>
      </c>
      <c r="F25" s="78">
        <f>+E25+$L$25</f>
        <v>55000.01</v>
      </c>
      <c r="G25" s="79">
        <f t="shared" si="5"/>
        <v>5000</v>
      </c>
      <c r="H25" s="96">
        <f t="shared" si="6"/>
        <v>1E-3</v>
      </c>
      <c r="I25" s="79" t="str">
        <f t="shared" si="0"/>
        <v/>
      </c>
      <c r="J25" s="80" t="s">
        <v>25</v>
      </c>
      <c r="L25">
        <f>+(F30-F24)/6</f>
        <v>5000</v>
      </c>
    </row>
    <row r="26" spans="1:12" x14ac:dyDescent="0.2">
      <c r="A26" s="78">
        <f t="shared" si="1"/>
        <v>55000020.000000007</v>
      </c>
      <c r="B26" s="78">
        <f t="shared" si="2"/>
        <v>60000020.000000007</v>
      </c>
      <c r="C26" s="79">
        <f t="shared" si="3"/>
        <v>5000000</v>
      </c>
      <c r="D26" s="79"/>
      <c r="E26" s="78">
        <f t="shared" si="7"/>
        <v>55000.020000000004</v>
      </c>
      <c r="F26" s="78">
        <f t="shared" ref="F26:F31" si="9">+E26+$L$25</f>
        <v>60000.020000000004</v>
      </c>
      <c r="G26" s="79">
        <f t="shared" si="5"/>
        <v>5000</v>
      </c>
      <c r="H26" s="96">
        <f t="shared" si="6"/>
        <v>1E-3</v>
      </c>
      <c r="I26" s="79" t="str">
        <f t="shared" ref="I26:I42" si="10">IF(AND($C$83&gt;=E26,$C$83&lt;=F26),$C$83,"")</f>
        <v/>
      </c>
      <c r="J26" s="80" t="s">
        <v>25</v>
      </c>
    </row>
    <row r="27" spans="1:12" x14ac:dyDescent="0.2">
      <c r="A27" s="78">
        <f t="shared" si="1"/>
        <v>60000030.000000007</v>
      </c>
      <c r="B27" s="78">
        <f t="shared" si="2"/>
        <v>65000030.000000007</v>
      </c>
      <c r="C27" s="79">
        <f t="shared" si="3"/>
        <v>5000000</v>
      </c>
      <c r="D27" s="79"/>
      <c r="E27" s="78">
        <f t="shared" si="7"/>
        <v>60000.030000000006</v>
      </c>
      <c r="F27" s="78">
        <f t="shared" si="9"/>
        <v>65000.030000000006</v>
      </c>
      <c r="G27" s="79">
        <f t="shared" si="5"/>
        <v>5000</v>
      </c>
      <c r="H27" s="96">
        <f t="shared" si="6"/>
        <v>1E-3</v>
      </c>
      <c r="I27" s="79" t="str">
        <f t="shared" si="10"/>
        <v/>
      </c>
      <c r="J27" s="80" t="s">
        <v>25</v>
      </c>
    </row>
    <row r="28" spans="1:12" x14ac:dyDescent="0.2">
      <c r="A28" s="78">
        <f t="shared" si="1"/>
        <v>65000040.000000007</v>
      </c>
      <c r="B28" s="78">
        <f t="shared" si="2"/>
        <v>70000040.000000015</v>
      </c>
      <c r="C28" s="79">
        <f t="shared" si="3"/>
        <v>5000000.0000000075</v>
      </c>
      <c r="D28" s="79"/>
      <c r="E28" s="78">
        <f t="shared" si="7"/>
        <v>65000.040000000008</v>
      </c>
      <c r="F28" s="78">
        <f t="shared" si="9"/>
        <v>70000.040000000008</v>
      </c>
      <c r="G28" s="79">
        <f t="shared" si="5"/>
        <v>5000</v>
      </c>
      <c r="H28" s="96">
        <f t="shared" si="6"/>
        <v>9.999999999999985E-4</v>
      </c>
      <c r="I28" s="79" t="str">
        <f t="shared" si="10"/>
        <v/>
      </c>
      <c r="J28" s="80" t="s">
        <v>25</v>
      </c>
    </row>
    <row r="29" spans="1:12" x14ac:dyDescent="0.2">
      <c r="A29" s="78">
        <f t="shared" si="1"/>
        <v>70000050</v>
      </c>
      <c r="B29" s="78">
        <f t="shared" si="2"/>
        <v>75000050</v>
      </c>
      <c r="C29" s="79">
        <f t="shared" si="3"/>
        <v>5000000</v>
      </c>
      <c r="D29" s="79"/>
      <c r="E29" s="78">
        <f t="shared" si="7"/>
        <v>70000.05</v>
      </c>
      <c r="F29" s="78">
        <f t="shared" si="9"/>
        <v>75000.05</v>
      </c>
      <c r="G29" s="79">
        <f t="shared" si="5"/>
        <v>5000</v>
      </c>
      <c r="H29" s="96">
        <f t="shared" si="6"/>
        <v>1E-3</v>
      </c>
      <c r="I29" s="79" t="str">
        <f t="shared" si="10"/>
        <v/>
      </c>
      <c r="J29" s="80" t="s">
        <v>25</v>
      </c>
    </row>
    <row r="30" spans="1:12" x14ac:dyDescent="0.2">
      <c r="A30" s="78">
        <f t="shared" si="1"/>
        <v>75000060</v>
      </c>
      <c r="B30" s="78">
        <f t="shared" si="2"/>
        <v>80000000</v>
      </c>
      <c r="C30" s="79">
        <f t="shared" si="3"/>
        <v>4999940</v>
      </c>
      <c r="D30" s="79"/>
      <c r="E30" s="78">
        <f t="shared" si="7"/>
        <v>75000.06</v>
      </c>
      <c r="F30" s="78">
        <v>80000</v>
      </c>
      <c r="G30" s="79">
        <f t="shared" si="5"/>
        <v>4999.9400000000023</v>
      </c>
      <c r="H30" s="96">
        <f t="shared" si="6"/>
        <v>1.0000000000000005E-3</v>
      </c>
      <c r="I30" s="79" t="str">
        <f t="shared" si="10"/>
        <v/>
      </c>
      <c r="J30" s="80" t="s">
        <v>25</v>
      </c>
    </row>
    <row r="31" spans="1:12" x14ac:dyDescent="0.2">
      <c r="A31" s="87">
        <f t="shared" si="1"/>
        <v>80000010</v>
      </c>
      <c r="B31" s="87">
        <f t="shared" si="2"/>
        <v>81833343.333333328</v>
      </c>
      <c r="C31" s="88">
        <f t="shared" si="3"/>
        <v>1833333.3333333284</v>
      </c>
      <c r="D31" s="88"/>
      <c r="E31" s="87">
        <f t="shared" si="7"/>
        <v>80000.009999999995</v>
      </c>
      <c r="F31" s="87">
        <f>+E31+$L$31</f>
        <v>81833.343333333323</v>
      </c>
      <c r="G31" s="88">
        <f t="shared" si="5"/>
        <v>1833.3333333333285</v>
      </c>
      <c r="H31" s="97">
        <f t="shared" si="6"/>
        <v>1E-3</v>
      </c>
      <c r="I31" s="88" t="str">
        <f t="shared" si="10"/>
        <v/>
      </c>
      <c r="J31" s="89" t="s">
        <v>26</v>
      </c>
      <c r="L31" s="117">
        <f>+(F42-F30)/12</f>
        <v>1833.3333333333333</v>
      </c>
    </row>
    <row r="32" spans="1:12" x14ac:dyDescent="0.2">
      <c r="A32" s="87">
        <f t="shared" si="1"/>
        <v>81833353.333333313</v>
      </c>
      <c r="B32" s="87">
        <f t="shared" si="2"/>
        <v>83666686.666666642</v>
      </c>
      <c r="C32" s="88">
        <f t="shared" si="3"/>
        <v>1833333.3333333284</v>
      </c>
      <c r="D32" s="88"/>
      <c r="E32" s="87">
        <f t="shared" si="7"/>
        <v>81833.353333333318</v>
      </c>
      <c r="F32" s="87">
        <f t="shared" ref="F32:F41" si="11">+E32+$L$31</f>
        <v>83666.686666666646</v>
      </c>
      <c r="G32" s="88">
        <f t="shared" si="5"/>
        <v>1833.3333333333285</v>
      </c>
      <c r="H32" s="97">
        <f t="shared" si="6"/>
        <v>1E-3</v>
      </c>
      <c r="I32" s="88" t="str">
        <f t="shared" si="10"/>
        <v/>
      </c>
      <c r="J32" s="89" t="s">
        <v>26</v>
      </c>
    </row>
    <row r="33" spans="1:10" x14ac:dyDescent="0.2">
      <c r="A33" s="87">
        <f t="shared" si="1"/>
        <v>83666696.666666642</v>
      </c>
      <c r="B33" s="87">
        <f t="shared" si="2"/>
        <v>85500029.99999997</v>
      </c>
      <c r="C33" s="88">
        <f t="shared" si="3"/>
        <v>1833333.3333333284</v>
      </c>
      <c r="D33" s="88"/>
      <c r="E33" s="87">
        <f t="shared" si="7"/>
        <v>83666.696666666641</v>
      </c>
      <c r="F33" s="87">
        <f t="shared" si="11"/>
        <v>85500.02999999997</v>
      </c>
      <c r="G33" s="88">
        <f t="shared" si="5"/>
        <v>1833.3333333333285</v>
      </c>
      <c r="H33" s="97">
        <f t="shared" si="6"/>
        <v>1E-3</v>
      </c>
      <c r="I33" s="88" t="str">
        <f t="shared" si="10"/>
        <v/>
      </c>
      <c r="J33" s="89" t="s">
        <v>26</v>
      </c>
    </row>
    <row r="34" spans="1:10" x14ac:dyDescent="0.2">
      <c r="A34" s="87">
        <f t="shared" si="1"/>
        <v>85500039.99999997</v>
      </c>
      <c r="B34" s="87">
        <f t="shared" si="2"/>
        <v>87333373.333333299</v>
      </c>
      <c r="C34" s="88">
        <f t="shared" si="3"/>
        <v>1833333.3333333284</v>
      </c>
      <c r="D34" s="88"/>
      <c r="E34" s="87">
        <f t="shared" si="7"/>
        <v>85500.039999999964</v>
      </c>
      <c r="F34" s="87">
        <f t="shared" si="11"/>
        <v>87333.373333333293</v>
      </c>
      <c r="G34" s="88">
        <f t="shared" si="5"/>
        <v>1833.3333333333285</v>
      </c>
      <c r="H34" s="97">
        <f t="shared" si="6"/>
        <v>1E-3</v>
      </c>
      <c r="I34" s="88" t="str">
        <f t="shared" si="10"/>
        <v/>
      </c>
      <c r="J34" s="89" t="s">
        <v>26</v>
      </c>
    </row>
    <row r="35" spans="1:10" x14ac:dyDescent="0.2">
      <c r="A35" s="87">
        <f t="shared" si="1"/>
        <v>87333383.333333284</v>
      </c>
      <c r="B35" s="87">
        <f t="shared" si="2"/>
        <v>89166716.666666612</v>
      </c>
      <c r="C35" s="88">
        <f t="shared" si="3"/>
        <v>1833333.3333333284</v>
      </c>
      <c r="D35" s="88"/>
      <c r="E35" s="87">
        <f t="shared" si="7"/>
        <v>87333.383333333288</v>
      </c>
      <c r="F35" s="87">
        <f t="shared" si="11"/>
        <v>89166.716666666616</v>
      </c>
      <c r="G35" s="88">
        <f t="shared" si="5"/>
        <v>1833.3333333333285</v>
      </c>
      <c r="H35" s="97">
        <f t="shared" si="6"/>
        <v>1E-3</v>
      </c>
      <c r="I35" s="88" t="str">
        <f t="shared" si="10"/>
        <v/>
      </c>
      <c r="J35" s="89" t="s">
        <v>26</v>
      </c>
    </row>
    <row r="36" spans="1:10" x14ac:dyDescent="0.2">
      <c r="A36" s="87">
        <f t="shared" si="1"/>
        <v>89166726.666666612</v>
      </c>
      <c r="B36" s="87">
        <f t="shared" si="2"/>
        <v>91000059.99999994</v>
      </c>
      <c r="C36" s="88">
        <f t="shared" si="3"/>
        <v>1833333.3333333284</v>
      </c>
      <c r="D36" s="88"/>
      <c r="E36" s="87">
        <f t="shared" si="7"/>
        <v>89166.726666666611</v>
      </c>
      <c r="F36" s="87">
        <f t="shared" si="11"/>
        <v>91000.059999999939</v>
      </c>
      <c r="G36" s="88">
        <f t="shared" si="5"/>
        <v>1833.3333333333285</v>
      </c>
      <c r="H36" s="97">
        <f t="shared" si="6"/>
        <v>1E-3</v>
      </c>
      <c r="I36" s="88" t="str">
        <f t="shared" si="10"/>
        <v/>
      </c>
      <c r="J36" s="89" t="s">
        <v>26</v>
      </c>
    </row>
    <row r="37" spans="1:10" x14ac:dyDescent="0.2">
      <c r="A37" s="87">
        <f t="shared" si="1"/>
        <v>91000069.99999994</v>
      </c>
      <c r="B37" s="87">
        <f t="shared" si="2"/>
        <v>92833403.333333269</v>
      </c>
      <c r="C37" s="88">
        <f t="shared" si="3"/>
        <v>1833333.3333333284</v>
      </c>
      <c r="D37" s="88"/>
      <c r="E37" s="87">
        <f t="shared" si="7"/>
        <v>91000.069999999934</v>
      </c>
      <c r="F37" s="87">
        <f t="shared" si="11"/>
        <v>92833.403333333263</v>
      </c>
      <c r="G37" s="88">
        <f t="shared" si="5"/>
        <v>1833.3333333333285</v>
      </c>
      <c r="H37" s="97">
        <f t="shared" si="6"/>
        <v>1E-3</v>
      </c>
      <c r="I37" s="88" t="str">
        <f t="shared" si="10"/>
        <v/>
      </c>
      <c r="J37" s="89" t="s">
        <v>26</v>
      </c>
    </row>
    <row r="38" spans="1:10" x14ac:dyDescent="0.2">
      <c r="A38" s="87">
        <f t="shared" si="1"/>
        <v>92833413.333333254</v>
      </c>
      <c r="B38" s="87">
        <f t="shared" si="2"/>
        <v>94666746.666666582</v>
      </c>
      <c r="C38" s="88">
        <f t="shared" si="3"/>
        <v>1833333.3333333284</v>
      </c>
      <c r="D38" s="88"/>
      <c r="E38" s="87">
        <f t="shared" si="7"/>
        <v>92833.413333333257</v>
      </c>
      <c r="F38" s="87">
        <f t="shared" si="11"/>
        <v>94666.746666666586</v>
      </c>
      <c r="G38" s="88">
        <f t="shared" si="5"/>
        <v>1833.3333333333285</v>
      </c>
      <c r="H38" s="97">
        <f t="shared" si="6"/>
        <v>1E-3</v>
      </c>
      <c r="I38" s="88" t="str">
        <f t="shared" si="10"/>
        <v/>
      </c>
      <c r="J38" s="89" t="s">
        <v>26</v>
      </c>
    </row>
    <row r="39" spans="1:10" x14ac:dyDescent="0.2">
      <c r="A39" s="87">
        <f t="shared" si="1"/>
        <v>94666756.666666582</v>
      </c>
      <c r="B39" s="87">
        <f t="shared" si="2"/>
        <v>96500089.999999911</v>
      </c>
      <c r="C39" s="88">
        <f t="shared" si="3"/>
        <v>1833333.3333333284</v>
      </c>
      <c r="D39" s="88"/>
      <c r="E39" s="87">
        <f t="shared" si="7"/>
        <v>94666.756666666581</v>
      </c>
      <c r="F39" s="87">
        <f t="shared" si="11"/>
        <v>96500.089999999909</v>
      </c>
      <c r="G39" s="88">
        <f t="shared" si="5"/>
        <v>1833.3333333333285</v>
      </c>
      <c r="H39" s="97">
        <f t="shared" si="6"/>
        <v>1E-3</v>
      </c>
      <c r="I39" s="88" t="str">
        <f t="shared" si="10"/>
        <v/>
      </c>
      <c r="J39" s="89" t="s">
        <v>26</v>
      </c>
    </row>
    <row r="40" spans="1:10" x14ac:dyDescent="0.2">
      <c r="A40" s="87">
        <f t="shared" si="1"/>
        <v>96500099.999999911</v>
      </c>
      <c r="B40" s="87">
        <f t="shared" si="2"/>
        <v>98333433.333333239</v>
      </c>
      <c r="C40" s="88">
        <f t="shared" si="3"/>
        <v>1833333.3333333284</v>
      </c>
      <c r="D40" s="88"/>
      <c r="E40" s="87">
        <f t="shared" si="7"/>
        <v>96500.099999999904</v>
      </c>
      <c r="F40" s="87">
        <f t="shared" si="11"/>
        <v>98333.433333333232</v>
      </c>
      <c r="G40" s="88">
        <f t="shared" si="5"/>
        <v>1833.3333333333285</v>
      </c>
      <c r="H40" s="97">
        <f t="shared" si="6"/>
        <v>1E-3</v>
      </c>
      <c r="I40" s="88" t="str">
        <f t="shared" si="10"/>
        <v/>
      </c>
      <c r="J40" s="89" t="s">
        <v>26</v>
      </c>
    </row>
    <row r="41" spans="1:10" x14ac:dyDescent="0.2">
      <c r="A41" s="87">
        <f t="shared" si="1"/>
        <v>98333443.333333224</v>
      </c>
      <c r="B41" s="87">
        <f t="shared" si="2"/>
        <v>100166776.66666655</v>
      </c>
      <c r="C41" s="88">
        <f t="shared" si="3"/>
        <v>1833333.3333333284</v>
      </c>
      <c r="D41" s="88"/>
      <c r="E41" s="87">
        <f t="shared" si="7"/>
        <v>98333.443333333227</v>
      </c>
      <c r="F41" s="87">
        <f t="shared" si="11"/>
        <v>100166.77666666656</v>
      </c>
      <c r="G41" s="88">
        <f t="shared" si="5"/>
        <v>1833.3333333333285</v>
      </c>
      <c r="H41" s="97">
        <f t="shared" si="6"/>
        <v>1E-3</v>
      </c>
      <c r="I41" s="88" t="str">
        <f t="shared" si="10"/>
        <v/>
      </c>
      <c r="J41" s="89" t="s">
        <v>26</v>
      </c>
    </row>
    <row r="42" spans="1:10" x14ac:dyDescent="0.2">
      <c r="A42" s="87">
        <f t="shared" si="1"/>
        <v>100166786.66666655</v>
      </c>
      <c r="B42" s="87">
        <f t="shared" si="2"/>
        <v>102000000</v>
      </c>
      <c r="C42" s="88">
        <f t="shared" si="3"/>
        <v>1833213.3333334476</v>
      </c>
      <c r="D42" s="88"/>
      <c r="E42" s="87">
        <f t="shared" si="7"/>
        <v>100166.78666666655</v>
      </c>
      <c r="F42" s="87">
        <v>102000</v>
      </c>
      <c r="G42" s="88">
        <f t="shared" si="5"/>
        <v>1833.2133333334496</v>
      </c>
      <c r="H42" s="97">
        <f t="shared" si="6"/>
        <v>1.0000000000000011E-3</v>
      </c>
      <c r="I42" s="88" t="str">
        <f t="shared" si="10"/>
        <v/>
      </c>
      <c r="J42" s="89" t="s">
        <v>26</v>
      </c>
    </row>
    <row r="44" spans="1:10" x14ac:dyDescent="0.2">
      <c r="A44" s="18" t="s">
        <v>53</v>
      </c>
    </row>
    <row r="45" spans="1:10" x14ac:dyDescent="0.2">
      <c r="A45" s="18" t="s">
        <v>0</v>
      </c>
      <c r="B45" s="18" t="s">
        <v>1</v>
      </c>
      <c r="C45" s="18" t="s">
        <v>7</v>
      </c>
      <c r="D45" s="18" t="s">
        <v>8</v>
      </c>
      <c r="E45" s="18" t="s">
        <v>6</v>
      </c>
      <c r="F45" s="18" t="s">
        <v>8</v>
      </c>
    </row>
    <row r="46" spans="1:10" x14ac:dyDescent="0.2">
      <c r="A46" s="67">
        <f>+C2</f>
        <v>1000000</v>
      </c>
      <c r="B46" s="67">
        <f>+A46+G46</f>
        <v>1030000</v>
      </c>
      <c r="C46" s="44">
        <v>10</v>
      </c>
      <c r="D46" s="44">
        <v>1</v>
      </c>
      <c r="E46" s="17" t="str">
        <f>IF((($B$67*80%)+(50%*$B$68))&gt;=A46,IF((($B$67*80%)+(50%*$B$68))&lt;B46,C46," ")," ")</f>
        <v xml:space="preserve"> </v>
      </c>
      <c r="F46" s="65" t="str">
        <f>IF((($B$67*80%)+(50%*$B$68))&gt;=A46,IF((($B$67*80%)+(50%*$B$68))&lt;B46,D46," ")," ")</f>
        <v xml:space="preserve"> </v>
      </c>
      <c r="G46">
        <v>30000</v>
      </c>
      <c r="H46" s="71"/>
      <c r="I46" s="71"/>
    </row>
    <row r="47" spans="1:10" x14ac:dyDescent="0.2">
      <c r="A47" s="67">
        <f>+B46</f>
        <v>1030000</v>
      </c>
      <c r="B47" s="67">
        <f t="shared" ref="B47:B61" si="12">+A47+G47</f>
        <v>1075000</v>
      </c>
      <c r="C47" s="44">
        <v>10</v>
      </c>
      <c r="D47" s="44">
        <v>1</v>
      </c>
      <c r="E47" s="17" t="str">
        <f t="shared" ref="E47:E62" si="13">IF((($B$67*80%)+(50%*$B$68))&gt;=A47,IF((($B$67*80%)+(50%*$B$68))&lt;B47,C47," ")," ")</f>
        <v xml:space="preserve"> </v>
      </c>
      <c r="F47" s="65" t="str">
        <f t="shared" ref="F47:F62" si="14">IF((($B$67*80%)+(50%*$B$68))&gt;=A47,IF((($B$67*80%)+(50%*$B$68))&lt;B47,D47," ")," ")</f>
        <v xml:space="preserve"> </v>
      </c>
      <c r="G47">
        <v>45000</v>
      </c>
    </row>
    <row r="48" spans="1:10" x14ac:dyDescent="0.2">
      <c r="A48" s="67">
        <f t="shared" ref="A48:A62" si="15">+B47</f>
        <v>1075000</v>
      </c>
      <c r="B48" s="67">
        <f t="shared" si="12"/>
        <v>1130000</v>
      </c>
      <c r="C48" s="44">
        <v>10</v>
      </c>
      <c r="D48" s="44">
        <v>1.25</v>
      </c>
      <c r="E48" s="17" t="str">
        <f t="shared" si="13"/>
        <v xml:space="preserve"> </v>
      </c>
      <c r="F48" s="65" t="str">
        <f t="shared" si="14"/>
        <v xml:space="preserve"> </v>
      </c>
      <c r="G48" s="71">
        <v>55000</v>
      </c>
    </row>
    <row r="49" spans="1:7" x14ac:dyDescent="0.2">
      <c r="A49" s="67">
        <f t="shared" si="15"/>
        <v>1130000</v>
      </c>
      <c r="B49" s="67">
        <f t="shared" si="12"/>
        <v>1205000</v>
      </c>
      <c r="C49" s="44">
        <v>10</v>
      </c>
      <c r="D49" s="44">
        <v>1.5</v>
      </c>
      <c r="E49" s="17" t="str">
        <f t="shared" si="13"/>
        <v xml:space="preserve"> </v>
      </c>
      <c r="F49" s="65" t="str">
        <f t="shared" si="14"/>
        <v xml:space="preserve"> </v>
      </c>
      <c r="G49" s="71">
        <v>75000</v>
      </c>
    </row>
    <row r="50" spans="1:7" x14ac:dyDescent="0.2">
      <c r="A50" s="67">
        <f t="shared" si="15"/>
        <v>1205000</v>
      </c>
      <c r="B50" s="67">
        <f t="shared" si="12"/>
        <v>1310000</v>
      </c>
      <c r="C50" s="44">
        <v>10</v>
      </c>
      <c r="D50" s="44">
        <v>1.75</v>
      </c>
      <c r="E50" s="17" t="str">
        <f t="shared" si="13"/>
        <v xml:space="preserve"> </v>
      </c>
      <c r="F50" s="65" t="str">
        <f t="shared" si="14"/>
        <v xml:space="preserve"> </v>
      </c>
      <c r="G50" s="71">
        <v>105000</v>
      </c>
    </row>
    <row r="51" spans="1:7" x14ac:dyDescent="0.2">
      <c r="A51" s="67">
        <f t="shared" si="15"/>
        <v>1310000</v>
      </c>
      <c r="B51" s="67">
        <f t="shared" si="12"/>
        <v>1435000</v>
      </c>
      <c r="C51" s="44">
        <v>10</v>
      </c>
      <c r="D51" s="44">
        <v>2</v>
      </c>
      <c r="E51" s="17" t="str">
        <f t="shared" si="13"/>
        <v xml:space="preserve"> </v>
      </c>
      <c r="F51" s="65" t="str">
        <f t="shared" si="14"/>
        <v xml:space="preserve"> </v>
      </c>
      <c r="G51" s="71">
        <v>125000</v>
      </c>
    </row>
    <row r="52" spans="1:7" x14ac:dyDescent="0.2">
      <c r="A52" s="67">
        <f t="shared" si="15"/>
        <v>1435000</v>
      </c>
      <c r="B52" s="67">
        <f t="shared" si="12"/>
        <v>1590000</v>
      </c>
      <c r="C52" s="44">
        <v>10</v>
      </c>
      <c r="D52" s="44">
        <v>2.1</v>
      </c>
      <c r="E52" s="17" t="str">
        <f t="shared" si="13"/>
        <v xml:space="preserve"> </v>
      </c>
      <c r="F52" s="65" t="str">
        <f t="shared" si="14"/>
        <v xml:space="preserve"> </v>
      </c>
      <c r="G52" s="71">
        <v>155000</v>
      </c>
    </row>
    <row r="53" spans="1:7" x14ac:dyDescent="0.2">
      <c r="A53" s="67">
        <f t="shared" si="15"/>
        <v>1590000</v>
      </c>
      <c r="B53" s="67">
        <f t="shared" si="12"/>
        <v>1775000</v>
      </c>
      <c r="C53" s="44">
        <v>10</v>
      </c>
      <c r="D53" s="44">
        <v>2.25</v>
      </c>
      <c r="E53" s="17" t="str">
        <f t="shared" si="13"/>
        <v xml:space="preserve"> </v>
      </c>
      <c r="F53" s="65" t="str">
        <f t="shared" si="14"/>
        <v xml:space="preserve"> </v>
      </c>
      <c r="G53" s="71">
        <v>185000</v>
      </c>
    </row>
    <row r="54" spans="1:7" x14ac:dyDescent="0.2">
      <c r="A54" s="67">
        <f t="shared" si="15"/>
        <v>1775000</v>
      </c>
      <c r="B54" s="67">
        <f t="shared" si="12"/>
        <v>1990000</v>
      </c>
      <c r="C54" s="44">
        <v>10</v>
      </c>
      <c r="D54" s="44">
        <v>2.5</v>
      </c>
      <c r="E54" s="17" t="str">
        <f t="shared" si="13"/>
        <v xml:space="preserve"> </v>
      </c>
      <c r="F54" s="65" t="str">
        <f t="shared" si="14"/>
        <v xml:space="preserve"> </v>
      </c>
      <c r="G54" s="71">
        <v>215000</v>
      </c>
    </row>
    <row r="55" spans="1:7" x14ac:dyDescent="0.2">
      <c r="A55" s="67">
        <f t="shared" si="15"/>
        <v>1990000</v>
      </c>
      <c r="B55" s="67">
        <f t="shared" si="12"/>
        <v>2245000</v>
      </c>
      <c r="C55" s="44">
        <v>10</v>
      </c>
      <c r="D55" s="44">
        <v>2.75</v>
      </c>
      <c r="E55" s="17" t="str">
        <f t="shared" si="13"/>
        <v xml:space="preserve"> </v>
      </c>
      <c r="F55" s="65" t="str">
        <f t="shared" si="14"/>
        <v xml:space="preserve"> </v>
      </c>
      <c r="G55" s="71">
        <v>255000</v>
      </c>
    </row>
    <row r="56" spans="1:7" x14ac:dyDescent="0.2">
      <c r="A56" s="67">
        <f t="shared" si="15"/>
        <v>2245000</v>
      </c>
      <c r="B56" s="67">
        <f t="shared" si="12"/>
        <v>2550000</v>
      </c>
      <c r="C56" s="44">
        <v>10</v>
      </c>
      <c r="D56" s="44">
        <v>3</v>
      </c>
      <c r="E56" s="17" t="str">
        <f t="shared" si="13"/>
        <v xml:space="preserve"> </v>
      </c>
      <c r="F56" s="65" t="str">
        <f t="shared" si="14"/>
        <v xml:space="preserve"> </v>
      </c>
      <c r="G56" s="71">
        <v>305000</v>
      </c>
    </row>
    <row r="57" spans="1:7" x14ac:dyDescent="0.2">
      <c r="A57" s="67">
        <f t="shared" si="15"/>
        <v>2550000</v>
      </c>
      <c r="B57" s="67">
        <f t="shared" si="12"/>
        <v>2950000</v>
      </c>
      <c r="C57" s="44">
        <v>10</v>
      </c>
      <c r="D57" s="44">
        <v>3.1</v>
      </c>
      <c r="E57" s="17" t="str">
        <f t="shared" si="13"/>
        <v xml:space="preserve"> </v>
      </c>
      <c r="F57" s="65" t="str">
        <f t="shared" si="14"/>
        <v xml:space="preserve"> </v>
      </c>
      <c r="G57" s="71">
        <v>400000</v>
      </c>
    </row>
    <row r="58" spans="1:7" x14ac:dyDescent="0.2">
      <c r="A58" s="67">
        <f t="shared" si="15"/>
        <v>2950000</v>
      </c>
      <c r="B58" s="67">
        <f t="shared" si="12"/>
        <v>3450000</v>
      </c>
      <c r="C58" s="44">
        <v>10</v>
      </c>
      <c r="D58" s="44">
        <v>3.25</v>
      </c>
      <c r="E58" s="17" t="str">
        <f t="shared" si="13"/>
        <v xml:space="preserve"> </v>
      </c>
      <c r="F58" s="65" t="str">
        <f t="shared" si="14"/>
        <v xml:space="preserve"> </v>
      </c>
      <c r="G58" s="71">
        <v>500000</v>
      </c>
    </row>
    <row r="59" spans="1:7" x14ac:dyDescent="0.2">
      <c r="A59" s="67">
        <f t="shared" si="15"/>
        <v>3450000</v>
      </c>
      <c r="B59" s="67">
        <f t="shared" si="12"/>
        <v>4050000</v>
      </c>
      <c r="C59" s="44">
        <v>10</v>
      </c>
      <c r="D59" s="44">
        <v>3.5</v>
      </c>
      <c r="E59" s="17" t="str">
        <f t="shared" si="13"/>
        <v xml:space="preserve"> </v>
      </c>
      <c r="F59" s="65" t="str">
        <f t="shared" si="14"/>
        <v xml:space="preserve"> </v>
      </c>
      <c r="G59" s="71">
        <v>600000</v>
      </c>
    </row>
    <row r="60" spans="1:7" x14ac:dyDescent="0.2">
      <c r="A60" s="67">
        <f t="shared" si="15"/>
        <v>4050000</v>
      </c>
      <c r="B60" s="67">
        <f t="shared" si="12"/>
        <v>4850000</v>
      </c>
      <c r="C60" s="44">
        <v>10</v>
      </c>
      <c r="D60" s="44">
        <v>3.75</v>
      </c>
      <c r="E60" s="17" t="str">
        <f t="shared" si="13"/>
        <v xml:space="preserve"> </v>
      </c>
      <c r="F60" s="65" t="str">
        <f t="shared" si="14"/>
        <v xml:space="preserve"> </v>
      </c>
      <c r="G60">
        <v>800000</v>
      </c>
    </row>
    <row r="61" spans="1:7" x14ac:dyDescent="0.2">
      <c r="A61" s="67">
        <f t="shared" si="15"/>
        <v>4850000</v>
      </c>
      <c r="B61" s="67">
        <f t="shared" si="12"/>
        <v>5850000</v>
      </c>
      <c r="C61" s="44">
        <v>10</v>
      </c>
      <c r="D61" s="44">
        <v>4</v>
      </c>
      <c r="E61" s="17" t="str">
        <f t="shared" si="13"/>
        <v xml:space="preserve"> </v>
      </c>
      <c r="F61" s="65" t="str">
        <f t="shared" si="14"/>
        <v xml:space="preserve"> </v>
      </c>
      <c r="G61">
        <v>1000000</v>
      </c>
    </row>
    <row r="62" spans="1:7" x14ac:dyDescent="0.2">
      <c r="A62" s="67">
        <f t="shared" si="15"/>
        <v>5850000</v>
      </c>
      <c r="B62" s="67">
        <v>999999999</v>
      </c>
      <c r="C62" s="44">
        <v>10</v>
      </c>
      <c r="D62" s="44">
        <v>4.0999999999999996</v>
      </c>
      <c r="E62" s="17" t="str">
        <f t="shared" si="13"/>
        <v xml:space="preserve"> </v>
      </c>
      <c r="F62" s="65" t="str">
        <f t="shared" si="14"/>
        <v xml:space="preserve"> </v>
      </c>
      <c r="G62">
        <v>999999999</v>
      </c>
    </row>
    <row r="63" spans="1:7" x14ac:dyDescent="0.2">
      <c r="A63" s="67"/>
      <c r="B63" s="67"/>
      <c r="C63" s="44"/>
      <c r="D63" s="44"/>
      <c r="E63" s="17"/>
      <c r="F63" s="65"/>
    </row>
    <row r="65" spans="1:5" x14ac:dyDescent="0.2">
      <c r="B65" s="47" t="s">
        <v>10</v>
      </c>
      <c r="C65" s="47" t="s">
        <v>12</v>
      </c>
    </row>
    <row r="66" spans="1:5" x14ac:dyDescent="0.2">
      <c r="A66" s="18" t="s">
        <v>11</v>
      </c>
      <c r="B66" s="39">
        <f>+(B67*80%)+(50%*B68)-B70-(1+B71)*B74*B75</f>
        <v>0</v>
      </c>
      <c r="C66" s="19">
        <f>+PV($B$73/12,$B$72,-$B$66,0,0)</f>
        <v>0</v>
      </c>
      <c r="D66" s="66"/>
    </row>
    <row r="67" spans="1:5" x14ac:dyDescent="0.2">
      <c r="A67" s="40" t="s">
        <v>29</v>
      </c>
      <c r="B67" s="39">
        <f>+Tabla!D14</f>
        <v>0</v>
      </c>
      <c r="C67" s="18"/>
    </row>
    <row r="68" spans="1:5" x14ac:dyDescent="0.2">
      <c r="A68" s="40" t="s">
        <v>28</v>
      </c>
      <c r="B68" s="39">
        <f>+Tabla!D15</f>
        <v>0</v>
      </c>
      <c r="C68" s="18"/>
      <c r="D68" s="66"/>
      <c r="E68" s="66"/>
    </row>
    <row r="69" spans="1:5" x14ac:dyDescent="0.2">
      <c r="A69" s="40" t="s">
        <v>52</v>
      </c>
      <c r="B69" s="39">
        <f>+B67+B68</f>
        <v>0</v>
      </c>
      <c r="C69" s="18"/>
      <c r="D69" s="66"/>
      <c r="E69" s="66"/>
    </row>
    <row r="70" spans="1:5" x14ac:dyDescent="0.2">
      <c r="A70" s="41" t="s">
        <v>3</v>
      </c>
      <c r="B70" s="39">
        <f>+Tabla!D16</f>
        <v>0</v>
      </c>
      <c r="C70" s="18"/>
      <c r="D70" s="66"/>
    </row>
    <row r="71" spans="1:5" x14ac:dyDescent="0.2">
      <c r="A71" s="40" t="s">
        <v>4</v>
      </c>
      <c r="B71" s="42">
        <f>+Tabla!D17</f>
        <v>0</v>
      </c>
      <c r="C71" s="18"/>
      <c r="D71" s="66"/>
    </row>
    <row r="72" spans="1:5" x14ac:dyDescent="0.2">
      <c r="A72" s="40" t="s">
        <v>21</v>
      </c>
      <c r="B72" s="42">
        <f>+Tabla!D11</f>
        <v>36</v>
      </c>
      <c r="C72" s="18"/>
    </row>
    <row r="73" spans="1:5" x14ac:dyDescent="0.2">
      <c r="A73" s="16" t="s">
        <v>9</v>
      </c>
      <c r="B73" s="43">
        <f>+Tabla!D9</f>
        <v>0.28999999999999998</v>
      </c>
      <c r="C73" s="18"/>
    </row>
    <row r="74" spans="1:5" x14ac:dyDescent="0.2">
      <c r="A74" s="16" t="s">
        <v>6</v>
      </c>
      <c r="B74" s="39">
        <f>+SUM(E46:E62)*$C$3</f>
        <v>0</v>
      </c>
      <c r="C74" s="18"/>
    </row>
    <row r="75" spans="1:5" x14ac:dyDescent="0.2">
      <c r="A75" s="16" t="s">
        <v>8</v>
      </c>
      <c r="B75" s="42">
        <f>+SUM(F46:F62)</f>
        <v>0</v>
      </c>
      <c r="C75" s="18"/>
    </row>
    <row r="76" spans="1:5" x14ac:dyDescent="0.2">
      <c r="A76" s="18" t="s">
        <v>5</v>
      </c>
      <c r="B76" s="39">
        <f>+IF(Tabla!D18="Si",(B67*0.8+B68*0.5)*0.35-B70,(B67*0.8+B68*0.5)*0.2-B70)</f>
        <v>0</v>
      </c>
      <c r="C76" s="19">
        <f>+PV($B$73/12,$B$72,-$B$76,0,0)</f>
        <v>0</v>
      </c>
    </row>
    <row r="77" spans="1:5" x14ac:dyDescent="0.2">
      <c r="A77" s="46" t="s">
        <v>31</v>
      </c>
      <c r="B77" s="43">
        <f>1/B72</f>
        <v>2.7777777777777776E-2</v>
      </c>
      <c r="C77" s="19"/>
    </row>
    <row r="78" spans="1:5" x14ac:dyDescent="0.2">
      <c r="A78" s="45" t="s">
        <v>32</v>
      </c>
      <c r="B78" s="43">
        <f>+B73/12</f>
        <v>2.4166666666666666E-2</v>
      </c>
      <c r="C78" s="19"/>
    </row>
    <row r="79" spans="1:5" x14ac:dyDescent="0.2">
      <c r="A79" s="45" t="s">
        <v>33</v>
      </c>
      <c r="B79" s="43">
        <f>+B78+B77</f>
        <v>5.1944444444444446E-2</v>
      </c>
      <c r="C79" s="19"/>
    </row>
    <row r="80" spans="1:5" x14ac:dyDescent="0.2">
      <c r="A80" s="45" t="s">
        <v>10</v>
      </c>
      <c r="B80" s="39">
        <f>+MIN(B76,B66)</f>
        <v>0</v>
      </c>
      <c r="C80" s="19">
        <f>+B80/B79</f>
        <v>0</v>
      </c>
    </row>
    <row r="81" spans="1:5" x14ac:dyDescent="0.2">
      <c r="A81" s="18" t="s">
        <v>47</v>
      </c>
      <c r="B81" s="39"/>
      <c r="C81" s="19">
        <f>+MIN(C66,C80)</f>
        <v>0</v>
      </c>
    </row>
    <row r="82" spans="1:5" x14ac:dyDescent="0.2">
      <c r="A82" s="18" t="s">
        <v>48</v>
      </c>
      <c r="B82" s="48"/>
      <c r="C82" s="49">
        <f>+C81/$C$1</f>
        <v>0</v>
      </c>
    </row>
    <row r="83" spans="1:5" x14ac:dyDescent="0.2">
      <c r="A83" s="18" t="s">
        <v>49</v>
      </c>
      <c r="B83" s="61"/>
      <c r="C83" s="74" t="str">
        <f>+IF(($C$82-FLOOR($C$82,100))&gt;=$C$4,CEILING($C$82,100),IF(FLOOR($C$82,100)&lt;$B$8,"Sin capacidad para endeudamientos adicionales",IF(($C$82-FLOOR($C$82,100))&gt;=$C$4,CEILING($C$82,100),FLOOR($C$82,100))))</f>
        <v>Sin capacidad para endeudamientos adicionales</v>
      </c>
      <c r="D83" s="62" t="str">
        <f>+IF(OR($C$83=0,C83="Sin capacidad para endeudamientos adicionales"),"",IF(AND($C$83&gt;=$B$8,$C$83&lt;=$C$8),$A$8,IF(AND($C$83&gt;=$B$9,$C$83&lt;=$C$9),$A$9,IF(AND($C$83&gt;=$B$10,$C$83&lt;=$C$10),$A$10,IF($C$83&gt;=$B$11,$A$11,"")))))</f>
        <v/>
      </c>
      <c r="E83" s="62"/>
    </row>
    <row r="84" spans="1:5" x14ac:dyDescent="0.2">
      <c r="A84" s="18" t="s">
        <v>58</v>
      </c>
      <c r="B84" s="39"/>
      <c r="C84" s="49">
        <f>SUM($I$15:$I$42)</f>
        <v>0</v>
      </c>
      <c r="D84" s="66"/>
    </row>
    <row r="85" spans="1:5" x14ac:dyDescent="0.2">
      <c r="A85" s="18" t="s">
        <v>59</v>
      </c>
      <c r="B85" s="39"/>
      <c r="C85" s="49">
        <f>+IF(($C$84-FLOOR($C$84,100))&gt;=$C$4,CEILING($C$84,100),FLOOR($C$84,100))</f>
        <v>0</v>
      </c>
      <c r="D85" s="66" t="e">
        <f>+VLOOKUP(C84,$I$15:$J$42,2,0)</f>
        <v>#N/A</v>
      </c>
    </row>
    <row r="86" spans="1:5" x14ac:dyDescent="0.2">
      <c r="A86" s="18" t="s">
        <v>50</v>
      </c>
      <c r="B86" s="39"/>
      <c r="C86" s="74" t="str">
        <f>+IF(C83="Sin capacidad para endeudamientos adicionales","Sin capacidad para endeudamientos adicionales",MIN(C83,C85))</f>
        <v>Sin capacidad para endeudamientos adicionales</v>
      </c>
      <c r="D86" t="str">
        <f>+IF(C83="Sin capacidad para endeudamientos adicionales","Sin capacidad para endeudamientos adicionales",IF(C86=C85,D85,D83))</f>
        <v>Sin capacidad para endeudamientos adicionales</v>
      </c>
    </row>
    <row r="87" spans="1:5" x14ac:dyDescent="0.2">
      <c r="A87" s="18" t="s">
        <v>51</v>
      </c>
      <c r="B87" s="39"/>
      <c r="C87" s="72" t="str">
        <f>+IF(C83="Sin capacidad para endeudamientos adicionales","Sin capacidad para endeudamientos adicionales",C86*$C$1)</f>
        <v>Sin capacidad para endeudamientos adicionales</v>
      </c>
    </row>
    <row r="88" spans="1:5" x14ac:dyDescent="0.2">
      <c r="A88" s="18" t="s">
        <v>35</v>
      </c>
      <c r="B88" s="73" t="str">
        <f>+D86</f>
        <v>Sin capacidad para endeudamientos adicionales</v>
      </c>
      <c r="C88" s="72" t="str">
        <f>+IF(C83="Sin capacidad para endeudamientos adicionales","Sin capacidad para endeudamientos adicionales",C87)</f>
        <v>Sin capacidad para endeudamientos adicionales</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vt:lpstr>
      <vt:lpstr>Factor</vt:lpstr>
      <vt:lpstr>Tabla!Área_de_impresión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Rojas, Johana.</cp:lastModifiedBy>
  <cp:lastPrinted>2012-09-14T20:04:40Z</cp:lastPrinted>
  <dcterms:created xsi:type="dcterms:W3CDTF">2005-08-30T19:56:20Z</dcterms:created>
  <dcterms:modified xsi:type="dcterms:W3CDTF">2018-06-08T20:55:18Z</dcterms:modified>
</cp:coreProperties>
</file>