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showSheetTabs="0" xWindow="0" yWindow="0" windowWidth="15480" windowHeight="10995" tabRatio="745"/>
  </bookViews>
  <sheets>
    <sheet name="Tabla" sheetId="2" r:id="rId1"/>
    <sheet name="Factor (2)" sheetId="8" state="hidden" r:id="rId2"/>
    <sheet name="Hoja2" sheetId="7" state="hidden" r:id="rId3"/>
  </sheets>
  <externalReferences>
    <externalReference r:id="rId4"/>
  </externalReferences>
  <definedNames>
    <definedName name="Alianza_Colegio_Integral_El_Ávila">'Factor (2)'!$C$77:$C$77</definedName>
    <definedName name="_xlnm.Print_Area" localSheetId="0">Tabla!$A$1:$H$78</definedName>
    <definedName name="Cliente">'Factor (2)'!$G$2:$G$3</definedName>
    <definedName name="Créditos_para_Participantes_del_IESA">'Factor (2)'!$C$82:$C$85</definedName>
    <definedName name="Forma">'Factor (2)'!$J$2:$J$3</definedName>
    <definedName name="IMax">'Factor (2)'!$F$27</definedName>
    <definedName name="IMin">'Factor (2)'!$E$27</definedName>
    <definedName name="Línea_Educativa_Bancaribe">'Factor (2)'!$C$81:$C$81</definedName>
    <definedName name="Línea_Musical_Bancaribe">'Factor (2)'!$C$86:$C$87</definedName>
    <definedName name="Línea_Nómina">'Factor (2)'!$C$78:$C$78</definedName>
    <definedName name="Línea_Nueva_Vida">'Factor (2)'!$C$79:$C$79</definedName>
    <definedName name="Línea_Nueva_Vida_Unifertes">'Factor (2)'!$C$80:$C$80</definedName>
    <definedName name="Línea_Personal_Alianza">'Factor (2)'!$C$76:$C$76</definedName>
    <definedName name="Línea_Personal_Bancaribe">'Factor (2)'!$C$75:$C$75</definedName>
    <definedName name="LN">'Factor (2)'!$G$2</definedName>
    <definedName name="MMax">'Factor (2)'!$H$27</definedName>
    <definedName name="MMin">'Factor (2)'!$G$27</definedName>
    <definedName name="Modalidad">'Factor (2)'!$B$14:$B$22</definedName>
    <definedName name="MontoMAx">'Factor (2)'!$H$14:$H$22</definedName>
    <definedName name="MontoMin">'Factor (2)'!$G$14:$G$22</definedName>
    <definedName name="Plazo">'Factor (2)'!$L$2:$L$5</definedName>
    <definedName name="PM">'Factor (2)'!$D$27</definedName>
    <definedName name="SM">'Factor (2)'!$D$6</definedName>
    <definedName name="SM_3">'Factor (2)'!#REF!</definedName>
    <definedName name="Smax">'Factor (2)'!#REF!</definedName>
    <definedName name="Subsidio">'Factor (2)'!$G$2:$G$3</definedName>
    <definedName name="TI">'Factor (2)'!$C$27</definedName>
  </definedNames>
  <calcPr calcId="145621"/>
</workbook>
</file>

<file path=xl/calcChain.xml><?xml version="1.0" encoding="utf-8"?>
<calcChain xmlns="http://schemas.openxmlformats.org/spreadsheetml/2006/main">
  <c r="E50" i="8" l="1"/>
  <c r="E49" i="8"/>
  <c r="E48" i="8"/>
  <c r="E47" i="8"/>
  <c r="E46" i="8"/>
  <c r="E45" i="8"/>
  <c r="E44" i="8"/>
  <c r="E43" i="8"/>
  <c r="E42" i="8"/>
  <c r="E41" i="8"/>
  <c r="E40" i="8"/>
  <c r="E39" i="8"/>
  <c r="E38" i="8"/>
  <c r="E37" i="8"/>
  <c r="E36" i="8"/>
  <c r="E35" i="8"/>
  <c r="E34" i="8"/>
  <c r="B37" i="8"/>
  <c r="B36" i="8"/>
  <c r="B35" i="8"/>
  <c r="C34" i="8"/>
  <c r="J21" i="8" l="1"/>
  <c r="J20" i="8"/>
  <c r="J19" i="8"/>
  <c r="J18" i="8"/>
  <c r="J17" i="8"/>
  <c r="J16" i="8"/>
  <c r="J15" i="8"/>
  <c r="J14" i="8"/>
  <c r="I18" i="8"/>
  <c r="I21" i="8"/>
  <c r="I20" i="8"/>
  <c r="I19" i="8"/>
  <c r="I17" i="8"/>
  <c r="I16" i="8"/>
  <c r="I15" i="8"/>
  <c r="I14" i="8"/>
  <c r="D8" i="8"/>
  <c r="D16" i="2" l="1"/>
  <c r="I22" i="8" l="1"/>
  <c r="B34" i="8" l="1"/>
  <c r="B2" i="8" l="1"/>
  <c r="B27" i="8" l="1"/>
  <c r="H27" i="8" s="1"/>
  <c r="D28" i="8"/>
  <c r="D27" i="8" s="1"/>
  <c r="C59" i="8" s="1"/>
  <c r="C17" i="2"/>
  <c r="D35" i="2"/>
  <c r="E9" i="8"/>
  <c r="C61" i="8"/>
  <c r="C56" i="8"/>
  <c r="C55" i="8"/>
  <c r="C60" i="8"/>
  <c r="C57" i="8"/>
  <c r="C54" i="8"/>
  <c r="D68" i="8" s="1"/>
  <c r="D29" i="8"/>
  <c r="C29" i="8"/>
  <c r="C6" i="8"/>
  <c r="C9" i="8" s="1"/>
  <c r="E17" i="2"/>
  <c r="P2" i="8"/>
  <c r="P28" i="8"/>
  <c r="P5" i="8"/>
  <c r="P3" i="8"/>
  <c r="P40" i="8"/>
  <c r="P31" i="8"/>
  <c r="P37" i="8"/>
  <c r="P32" i="8"/>
  <c r="P12" i="8"/>
  <c r="P29" i="8"/>
  <c r="P4" i="8"/>
  <c r="P33" i="8"/>
  <c r="P38" i="8"/>
  <c r="P27" i="8"/>
  <c r="P6" i="8"/>
  <c r="P7" i="8"/>
  <c r="P35" i="8"/>
  <c r="P39" i="8"/>
  <c r="P26" i="8"/>
  <c r="P36" i="8"/>
  <c r="P41" i="8"/>
  <c r="P30" i="8"/>
  <c r="P34" i="8"/>
  <c r="C35" i="8" l="1"/>
  <c r="D61" i="8"/>
  <c r="D56" i="8"/>
  <c r="J22" i="8"/>
  <c r="E56" i="8"/>
  <c r="G35" i="8"/>
  <c r="F34" i="8"/>
  <c r="G34" i="8"/>
  <c r="F35" i="8"/>
  <c r="G27" i="8"/>
  <c r="I27" i="8"/>
  <c r="B15" i="2" s="1"/>
  <c r="F27" i="8"/>
  <c r="C28" i="8"/>
  <c r="C27" i="8" s="1"/>
  <c r="C7" i="8"/>
  <c r="C8" i="8"/>
  <c r="C36" i="8" l="1"/>
  <c r="G36" i="8"/>
  <c r="F36" i="8"/>
  <c r="C67" i="8"/>
  <c r="D28" i="2" s="1"/>
  <c r="E27" i="8"/>
  <c r="C58" i="8"/>
  <c r="C63" i="8" s="1"/>
  <c r="C37" i="8" l="1"/>
  <c r="G37" i="8" s="1"/>
  <c r="J27" i="8"/>
  <c r="B22" i="2" s="1"/>
  <c r="D67" i="8"/>
  <c r="F37" i="8" l="1"/>
  <c r="B38" i="8"/>
  <c r="C38" i="8" l="1"/>
  <c r="B39" i="8" s="1"/>
  <c r="F38" i="8"/>
  <c r="C39" i="8" l="1"/>
  <c r="B40" i="8" s="1"/>
  <c r="F39" i="8"/>
  <c r="G38" i="8"/>
  <c r="C40" i="8" l="1"/>
  <c r="B41" i="8" s="1"/>
  <c r="F40" i="8"/>
  <c r="G39" i="8"/>
  <c r="C41" i="8" l="1"/>
  <c r="B42" i="8" s="1"/>
  <c r="F41" i="8"/>
  <c r="G40" i="8"/>
  <c r="C42" i="8" l="1"/>
  <c r="B43" i="8" s="1"/>
  <c r="F42" i="8"/>
  <c r="G41" i="8"/>
  <c r="C43" i="8" l="1"/>
  <c r="B44" i="8" s="1"/>
  <c r="F43" i="8"/>
  <c r="G42" i="8"/>
  <c r="C44" i="8" l="1"/>
  <c r="B45" i="8" s="1"/>
  <c r="F44" i="8"/>
  <c r="G43" i="8"/>
  <c r="C45" i="8" l="1"/>
  <c r="B46" i="8" s="1"/>
  <c r="G45" i="8"/>
  <c r="F45" i="8"/>
  <c r="G44" i="8"/>
  <c r="C46" i="8" l="1"/>
  <c r="B47" i="8" s="1"/>
  <c r="F46" i="8"/>
  <c r="C47" i="8" l="1"/>
  <c r="B48" i="8" s="1"/>
  <c r="G47" i="8"/>
  <c r="G46" i="8"/>
  <c r="C48" i="8" l="1"/>
  <c r="B49" i="8" s="1"/>
  <c r="F47" i="8"/>
  <c r="C49" i="8" l="1"/>
  <c r="B50" i="8" s="1"/>
  <c r="G49" i="8"/>
  <c r="F48" i="8"/>
  <c r="G48" i="8"/>
  <c r="G50" i="8" l="1"/>
  <c r="C65" i="8" s="1"/>
  <c r="F50" i="8"/>
  <c r="C64" i="8" s="1"/>
  <c r="F49" i="8"/>
  <c r="C66" i="8" l="1"/>
  <c r="D66" i="8" s="1"/>
  <c r="D69" i="8" s="1"/>
  <c r="D27" i="2" l="1"/>
  <c r="D70" i="8"/>
  <c r="B30" i="2" s="1"/>
  <c r="D30" i="2" s="1"/>
  <c r="C69" i="8"/>
  <c r="D32" i="2" l="1"/>
  <c r="B32" i="2"/>
  <c r="B34" i="2"/>
  <c r="G30" i="2"/>
  <c r="D34" i="2"/>
</calcChain>
</file>

<file path=xl/comments1.xml><?xml version="1.0" encoding="utf-8"?>
<comments xmlns="http://schemas.openxmlformats.org/spreadsheetml/2006/main">
  <authors>
    <author>bc213293</author>
    <author>bc24260</author>
  </authors>
  <commentList>
    <comment ref="D17" authorId="0">
      <text>
        <r>
          <rPr>
            <sz val="8"/>
            <color indexed="81"/>
            <rFont val="Tahoma"/>
            <family val="2"/>
          </rPr>
          <t>En este campo se puede colocar una tasa de interés en promoción inferior a la fija.</t>
        </r>
      </text>
    </comment>
    <comment ref="D19" authorId="1">
      <text>
        <r>
          <rPr>
            <sz val="10"/>
            <color indexed="81"/>
            <rFont val="Tahoma"/>
            <family val="2"/>
          </rPr>
          <t>En este campo se puede colocar un plazo inferior al máximo.</t>
        </r>
      </text>
    </comment>
    <comment ref="D21" authorId="1">
      <text>
        <r>
          <rPr>
            <sz val="10"/>
            <color indexed="81"/>
            <rFont val="Tahoma"/>
            <family val="2"/>
          </rPr>
          <t>Cliente Bancaribe: se refiere a, si el cliente tiene algún producto financiero con Bancaribe.</t>
        </r>
      </text>
    </comment>
    <comment ref="D22" authorId="1">
      <text>
        <r>
          <rPr>
            <sz val="10"/>
            <color indexed="81"/>
            <rFont val="Tahoma"/>
            <family val="2"/>
          </rPr>
          <t>Se considera ingreso mensual todos los sueldos, salarios, pensiones, honorarios  profesionales e ingresos que se deriven de la ocupación principal de la persona, que sean percibidos en forma recurrente y con periodicidad mensual.</t>
        </r>
      </text>
    </comment>
    <comment ref="D23" authorId="1">
      <text>
        <r>
          <rPr>
            <sz val="10"/>
            <color indexed="81"/>
            <rFont val="Tahoma"/>
            <family val="2"/>
          </rPr>
          <t>Son todas aquellas remuneraciones percibidas en ocasión del desarrollo de actividades distintas a la ocupación principal de la persona, comisiones, bonificaciones, utilidades, alquileres, intereses, dividendos, entre otros.
Si tiene ingresos mensuales adicionales bajo estos conceptos coloque el monto; si no, coloque cero (0)</t>
        </r>
      </text>
    </comment>
    <comment ref="D24" authorId="1">
      <text>
        <r>
          <rPr>
            <sz val="10"/>
            <color indexed="81"/>
            <rFont val="Tahoma"/>
            <family val="2"/>
          </rPr>
          <t>Se considera gasto fianciero el valor de las cuotas que mensualmente son canceladas por el cliente por concepto de deudas financieras contraídas.</t>
        </r>
      </text>
    </comment>
    <comment ref="D25" authorId="1">
      <text>
        <r>
          <rPr>
            <sz val="10"/>
            <color indexed="81"/>
            <rFont val="Tahoma"/>
            <family val="2"/>
          </rPr>
          <t>Son todas las personas que dependen económicamente del cliente y que son declaradas en la solicitud de crédito.</t>
        </r>
      </text>
    </comment>
    <comment ref="D26" authorId="1">
      <text>
        <r>
          <rPr>
            <sz val="10"/>
            <color indexed="81"/>
            <rFont val="Tahoma"/>
            <family val="2"/>
          </rPr>
          <t xml:space="preserve">Experiencia crediticia bancaria previa: considera si el cliente tiene o ha tenia créditos en Bancaribe o en cualquier otra entidad financiera. </t>
        </r>
      </text>
    </comment>
    <comment ref="D30" authorId="1">
      <text>
        <r>
          <rPr>
            <sz val="10"/>
            <color indexed="81"/>
            <rFont val="Tahoma"/>
            <family val="2"/>
          </rPr>
          <t>En este campo se muestra el monto estimado del crédito (en Bolívares) al que podría optar el cliente.</t>
        </r>
      </text>
    </comment>
    <comment ref="D32" authorId="1">
      <text>
        <r>
          <rPr>
            <sz val="10"/>
            <color indexed="81"/>
            <rFont val="Tahoma"/>
            <family val="2"/>
          </rPr>
          <t>En este campo se muestra la cuota estimada mensual  correspondiente al monto del crédito (en Bolívares) al que podría optar el cliente.</t>
        </r>
      </text>
    </comment>
    <comment ref="D34" authorId="1">
      <text>
        <r>
          <rPr>
            <sz val="10"/>
            <color indexed="81"/>
            <rFont val="Tahoma"/>
            <family val="2"/>
          </rPr>
          <t>En este campo se muestra la cuota estimada mensual  del crédito a la tasa de interes promocional  por el período de la promoción .</t>
        </r>
      </text>
    </comment>
  </commentList>
</comments>
</file>

<file path=xl/comments2.xml><?xml version="1.0" encoding="utf-8"?>
<comments xmlns="http://schemas.openxmlformats.org/spreadsheetml/2006/main">
  <authors>
    <author>bc213293</author>
    <author>Rojas, Johana.</author>
  </authors>
  <commentList>
    <comment ref="P1" authorId="0">
      <text>
        <r>
          <rPr>
            <sz val="8"/>
            <color indexed="81"/>
            <rFont val="Tahoma"/>
            <family val="2"/>
          </rPr>
          <t xml:space="preserve">Se cambia cuando salga en gaceta
</t>
        </r>
      </text>
    </comment>
    <comment ref="D6" authorId="0">
      <text>
        <r>
          <rPr>
            <sz val="8"/>
            <color indexed="81"/>
            <rFont val="Arial"/>
            <family val="2"/>
          </rPr>
          <t>Cambiar cada vez salga publicado en Gaceta.</t>
        </r>
      </text>
    </comment>
    <comment ref="D7" authorId="0">
      <text>
        <r>
          <rPr>
            <sz val="8"/>
            <color indexed="81"/>
            <rFont val="Arial"/>
            <family val="2"/>
          </rPr>
          <t>Cambiar cada vez que salga en Gaceta.</t>
        </r>
      </text>
    </comment>
    <comment ref="C10" authorId="1">
      <text>
        <r>
          <rPr>
            <b/>
            <sz val="8"/>
            <color indexed="81"/>
            <rFont val="Tahoma"/>
            <family val="2"/>
          </rPr>
          <t>Ajustar cada vez que se ajuste el salario mínimo</t>
        </r>
        <r>
          <rPr>
            <sz val="8"/>
            <color indexed="81"/>
            <rFont val="Tahoma"/>
            <family val="2"/>
          </rPr>
          <t xml:space="preserve">
</t>
        </r>
      </text>
    </comment>
    <comment ref="C19" authorId="0">
      <text>
        <r>
          <rPr>
            <b/>
            <sz val="8"/>
            <color indexed="81"/>
            <rFont val="Tahoma"/>
            <family val="2"/>
          </rPr>
          <t>Hastes de 230615 era a 22%</t>
        </r>
        <r>
          <rPr>
            <sz val="8"/>
            <color indexed="81"/>
            <rFont val="Tahoma"/>
            <family val="2"/>
          </rPr>
          <t xml:space="preserve">
</t>
        </r>
      </text>
    </comment>
    <comment ref="B32" authorId="0">
      <text>
        <r>
          <rPr>
            <sz val="8"/>
            <color indexed="81"/>
            <rFont val="Tahoma"/>
            <family val="2"/>
          </rPr>
          <t>Cuando se pida cambio</t>
        </r>
      </text>
    </comment>
  </commentList>
</comments>
</file>

<file path=xl/sharedStrings.xml><?xml version="1.0" encoding="utf-8"?>
<sst xmlns="http://schemas.openxmlformats.org/spreadsheetml/2006/main" count="149" uniqueCount="118">
  <si>
    <t>Capacidad de Pago</t>
  </si>
  <si>
    <t>CMSDM</t>
  </si>
  <si>
    <t>Fact UT</t>
  </si>
  <si>
    <t>UT</t>
  </si>
  <si>
    <t>FactAju</t>
  </si>
  <si>
    <t>Fact Tasa</t>
  </si>
  <si>
    <t>CONDICIONES DEL CRÉDITO</t>
  </si>
  <si>
    <t>Cargas familiares (no incluir al solicitante):</t>
  </si>
  <si>
    <t>DATOS SOCIOECONÓMICOS</t>
  </si>
  <si>
    <t>Unidad tributaria</t>
  </si>
  <si>
    <t>MONTO DE LA CUOTA ESTIMADA DEL CRÉDITO</t>
  </si>
  <si>
    <t>*Campo Requerido</t>
  </si>
  <si>
    <t>MONTO ESTIMADO DEL CRÉDITO</t>
  </si>
  <si>
    <t>Experiencia crediticia bancaria previa:</t>
  </si>
  <si>
    <t>Si</t>
  </si>
  <si>
    <t>No</t>
  </si>
  <si>
    <t>SIMULACIÓN PARA "LÍNEA PERSONAL"</t>
  </si>
  <si>
    <t>Producto</t>
  </si>
  <si>
    <t>Modalidad</t>
  </si>
  <si>
    <t>Línea Personal</t>
  </si>
  <si>
    <t>Seleccione Modalidad de Línea Personal</t>
  </si>
  <si>
    <t>Línea Personal-Alianza</t>
  </si>
  <si>
    <t>(ESTOS RESULTADOS NO COMPROMETEN AL BANCO AL MOMENTO DE LA APROBACIÓN)</t>
  </si>
  <si>
    <t>Ingreso Mínimo LPB Cliente</t>
  </si>
  <si>
    <t>Ingreso Mínimo LPB No Cliente</t>
  </si>
  <si>
    <t>Cliente Bancaribe</t>
  </si>
  <si>
    <t>Consecuencia</t>
  </si>
  <si>
    <t>Tasa</t>
  </si>
  <si>
    <t>Plazo</t>
  </si>
  <si>
    <t>Gastos financieros:</t>
  </si>
  <si>
    <t>"El resultado obtenido es referencial y de carácter informativo; en consecuencia, no podrá interpretarse como aprobación de crédito"</t>
  </si>
  <si>
    <t>Plazo máximo del crédito (N° de cuotas):</t>
  </si>
  <si>
    <t>Plazo solicitado (N° de cuotas):</t>
  </si>
  <si>
    <t>Ingreso mínimo</t>
  </si>
  <si>
    <t>Ingreso máx</t>
  </si>
  <si>
    <t>Otros ingresos adicionales mensuales:</t>
  </si>
  <si>
    <t>Línea Nómina</t>
  </si>
  <si>
    <t xml:space="preserve">La tasa de interés indicada se actualiza periódicamente. Si desea conocer cuál es la tasa de interés para el día de hoy, puede consultar el campo "Tasas" en la pestaña "La institución" de la página web del Bancaribe. </t>
  </si>
  <si>
    <t>Plazo máximo del crédito</t>
  </si>
  <si>
    <t>En este campo se puede colocar un plazo inferior al máximo.</t>
  </si>
  <si>
    <t>Cliente Bancaribe: se refiere a, si el cliente tiene algún producto financiero con Bancaribe.</t>
  </si>
  <si>
    <t>Ingreso mensual: se considera ingreso mensual todos los sueldos, salarios, pensiones, honorarios  profesionales e ingresos que se deriven de la ocupación principal de la persona, que sean percibidos en forma recurrente y con periodicidad mensual.</t>
  </si>
  <si>
    <t>Otros ingresos: son todas aquellas remuneraciones percibidas en ocasión del desarrollo de actividades distintas a la ocupación principal de la persona, comisiones, bonificaciones, utilidades, alquileres, intereses, dividendos, entre otros.</t>
  </si>
  <si>
    <t>Si tiene ingresos mensuales adicionales bajo estos conceptos coloque el monto; si no, coloque cero (0)</t>
  </si>
  <si>
    <t>Gastos financieros: se considera gasto fianciero el valor de las cuotas que mensualmente son canceladas por el cliente por concepto de deudas financieras contraídas.</t>
  </si>
  <si>
    <t>Cargas familiares: son todas las personas que dependen económicamente del cliente y que son declaradas en la solicitud de crédito.</t>
  </si>
  <si>
    <t xml:space="preserve">Experiencia crediticia bancaria previa: considera si el cliente tiene o ha tenia créditos en Bancaribe o en cualquier otra entidad financiera. </t>
  </si>
  <si>
    <t>En este campo se muestra el monto estimado del crédito (en Bolívares) al que podría optar el cliente.</t>
  </si>
  <si>
    <t>En este campo se muestra la cuota estimada mensual  correspondiente al monto del crédito (en Bolívares) al que podría optar el cliente.</t>
  </si>
  <si>
    <t>En este campo se muestra la cuota estimada mensual  del crédito a la tasa de interes promocional  por el período de la promoción .</t>
  </si>
  <si>
    <t>Nombre del Cliente:</t>
  </si>
  <si>
    <t>Oficina:</t>
  </si>
  <si>
    <t>Número Cédula:</t>
  </si>
  <si>
    <t>Código Oficina:</t>
  </si>
  <si>
    <t>No. Teléfono:</t>
  </si>
  <si>
    <t>Asesor de Negocios:</t>
  </si>
  <si>
    <t>Observaciones:</t>
  </si>
  <si>
    <t>Línea Educativa Bancaribe</t>
  </si>
  <si>
    <t>Créditos para Participantes del IESA</t>
  </si>
  <si>
    <t>*Campo Opcional</t>
  </si>
  <si>
    <t>Nota: Todo lo que esté en verde se puede cambiar.</t>
  </si>
  <si>
    <t>Forma del crédito</t>
  </si>
  <si>
    <t>Ingresos Familiar en Salarios Mínimos</t>
  </si>
  <si>
    <t>Escala de % subsidio</t>
  </si>
  <si>
    <t>% subsidio</t>
  </si>
  <si>
    <t>Individual</t>
  </si>
  <si>
    <t>&lt;1</t>
  </si>
  <si>
    <t>Grupo familiar</t>
  </si>
  <si>
    <t>Fijos</t>
  </si>
  <si>
    <t>Fecha</t>
  </si>
  <si>
    <t>Monto</t>
  </si>
  <si>
    <t>&gt;4</t>
  </si>
  <si>
    <t>Campos Obligatorios</t>
  </si>
  <si>
    <t>Cargas familiares (no incluir al solicitante)</t>
  </si>
  <si>
    <t>Campos Calculados</t>
  </si>
  <si>
    <t>Mensual</t>
  </si>
  <si>
    <t>Total del Crédito</t>
  </si>
  <si>
    <t>Monto del financiamiento (Mf)=(V)-(I)</t>
  </si>
  <si>
    <t>Monto máximo del crédito a otorgar (Mmco)</t>
  </si>
  <si>
    <t>Cliente Bancaribe:</t>
  </si>
  <si>
    <t>no</t>
  </si>
  <si>
    <t>Línea Nueva Vida</t>
  </si>
  <si>
    <t>Monto del Crédito a solicitar</t>
  </si>
  <si>
    <t>Monto Mínimo</t>
  </si>
  <si>
    <t>Monto Máximo</t>
  </si>
  <si>
    <t>Promoción</t>
  </si>
  <si>
    <t>Desde</t>
  </si>
  <si>
    <t>Hasta</t>
  </si>
  <si>
    <t>Monto del crédito solicitado</t>
  </si>
  <si>
    <t>Ingreso mensual declarado</t>
  </si>
  <si>
    <t>Gasto mensual declarado</t>
  </si>
  <si>
    <t>Otros Ingresos</t>
  </si>
  <si>
    <t>Cliente</t>
  </si>
  <si>
    <t>Línea Personal Bancaribe</t>
  </si>
  <si>
    <t>Línea Musical Bancaribe</t>
  </si>
  <si>
    <t>Tabla de Ajuste para los Ingresos</t>
  </si>
  <si>
    <t>80% Ingresos Fijos</t>
  </si>
  <si>
    <t>50% Ingresos Variables</t>
  </si>
  <si>
    <t>PNE</t>
  </si>
  <si>
    <t>Tasa de Interés:</t>
  </si>
  <si>
    <t>Ingreso Mínimo Requerido</t>
  </si>
  <si>
    <t>Plazos</t>
  </si>
  <si>
    <t>Línea_Personal_Bancaribe</t>
  </si>
  <si>
    <t>Línea_Personal_Alianza</t>
  </si>
  <si>
    <t>Línea_Nómina</t>
  </si>
  <si>
    <t>Línea_Nueva_Vida</t>
  </si>
  <si>
    <t>Línea_Educativa_Bancaribe</t>
  </si>
  <si>
    <t>Créditos_para_Participantes_del_IESA</t>
  </si>
  <si>
    <t>Línea_Musical_Bancaribe</t>
  </si>
  <si>
    <t>Seleccione el plazo</t>
  </si>
  <si>
    <t>Línea Nueva Vida "Unifertes"</t>
  </si>
  <si>
    <t>Línea_Nueva_Vida_Unifertes</t>
  </si>
  <si>
    <t>Alianza Colegio Integral El Ávila</t>
  </si>
  <si>
    <t>Alianza_Colegio_Integral_El_Ávila</t>
  </si>
  <si>
    <t>Salario mínimo (Sm) + Cesta Ticket = Salario Integral</t>
  </si>
  <si>
    <t>FactAju Indexado (Planificación)</t>
  </si>
  <si>
    <t>Inflación Proyectada al 31/08/18</t>
  </si>
  <si>
    <t>FactAju Anterior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</si>
</sst>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Bs&quot;\ #,##0.00;[Red]&quot;Bs&quot;\ \-#,##0.00"/>
    <numFmt numFmtId="43" formatCode="_ * #,##0.00_ ;_ * \-#,##0.00_ ;_ * &quot;-&quot;??_ ;_ @_ "/>
    <numFmt numFmtId="164" formatCode="_(* #,##0_);_(* \(#,##0\);_(* &quot;-&quot;_);_(@_)"/>
    <numFmt numFmtId="165" formatCode="_(* #,##0.00_);_(* \(#,##0.00\);_(* &quot;-&quot;??_);_(@_)"/>
    <numFmt numFmtId="166" formatCode="&quot;Bs&quot;\ #,##0.00_);\(&quot;Bs&quot;\ #,##0.00\)"/>
    <numFmt numFmtId="167" formatCode="&quot;Bs&quot;\ #,##0.00_);[Red]\(&quot;Bs&quot;\ #,##0.00\)"/>
    <numFmt numFmtId="168" formatCode="[$-F800]dddd\,\ mmmm\ dd\,\ yyyy"/>
    <numFmt numFmtId="169" formatCode="&quot;Bs&quot;\ #,##0.00"/>
    <numFmt numFmtId="170" formatCode="0.0"/>
    <numFmt numFmtId="171" formatCode="0.0000"/>
    <numFmt numFmtId="172" formatCode="#,##0.0000"/>
    <numFmt numFmtId="173" formatCode="&quot;Bs&quot;\ #,##0"/>
    <numFmt numFmtId="174" formatCode="#,##0.00_ ;[Red]\-#,##0.00\ "/>
    <numFmt numFmtId="175" formatCode="&quot;Bs S&quot;\ #,##0.00"/>
  </numFmts>
  <fonts count="50" x14ac:knownFonts="1">
    <font>
      <sz val="10"/>
      <name val="Arial"/>
    </font>
    <font>
      <sz val="10"/>
      <name val="Arial"/>
      <family val="2"/>
    </font>
    <font>
      <b/>
      <sz val="10"/>
      <name val="Arial"/>
      <family val="2"/>
    </font>
    <font>
      <sz val="8"/>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name val="Arial"/>
      <family val="2"/>
    </font>
    <font>
      <sz val="10"/>
      <color indexed="81"/>
      <name val="Tahoma"/>
      <family val="2"/>
    </font>
    <font>
      <b/>
      <sz val="12"/>
      <name val="Arial"/>
      <family val="2"/>
    </font>
    <font>
      <sz val="10"/>
      <color indexed="9"/>
      <name val="Arial"/>
      <family val="2"/>
    </font>
    <font>
      <b/>
      <sz val="9"/>
      <name val="Arial"/>
      <family val="2"/>
    </font>
    <font>
      <sz val="8"/>
      <color indexed="81"/>
      <name val="Tahoma"/>
      <family val="2"/>
    </font>
    <font>
      <sz val="8"/>
      <color indexed="81"/>
      <name val="Arial"/>
      <family val="2"/>
    </font>
    <font>
      <b/>
      <sz val="8"/>
      <color indexed="81"/>
      <name val="Tahoma"/>
      <family val="2"/>
    </font>
    <font>
      <sz val="10"/>
      <color theme="0"/>
      <name val="Arial"/>
      <family val="2"/>
    </font>
    <font>
      <sz val="9"/>
      <color theme="1"/>
      <name val="Arial"/>
      <family val="2"/>
    </font>
    <font>
      <b/>
      <i/>
      <sz val="14"/>
      <color theme="3"/>
      <name val="Arial"/>
      <family val="2"/>
    </font>
    <font>
      <b/>
      <i/>
      <sz val="12"/>
      <color theme="3"/>
      <name val="Arial"/>
      <family val="2"/>
    </font>
    <font>
      <b/>
      <sz val="18"/>
      <color theme="3"/>
      <name val="Arial"/>
      <family val="2"/>
    </font>
    <font>
      <b/>
      <i/>
      <sz val="14"/>
      <color theme="0"/>
      <name val="Arial"/>
      <family val="2"/>
    </font>
    <font>
      <b/>
      <sz val="14"/>
      <color theme="3"/>
      <name val="Arial"/>
      <family val="2"/>
    </font>
    <font>
      <b/>
      <sz val="13"/>
      <color rgb="FFFFFF00"/>
      <name val="Arial"/>
      <family val="2"/>
    </font>
    <font>
      <b/>
      <sz val="10"/>
      <color theme="8" tint="0.59999389629810485"/>
      <name val="Arial"/>
      <family val="2"/>
    </font>
    <font>
      <b/>
      <sz val="10"/>
      <color theme="0"/>
      <name val="Arial"/>
      <family val="2"/>
    </font>
    <font>
      <b/>
      <sz val="10"/>
      <color theme="7"/>
      <name val="Arial"/>
      <family val="2"/>
    </font>
    <font>
      <b/>
      <sz val="10"/>
      <color rgb="FFC00000"/>
      <name val="Arial"/>
      <family val="2"/>
    </font>
    <font>
      <b/>
      <sz val="16"/>
      <color rgb="FFFF0000"/>
      <name val="Arial"/>
      <family val="2"/>
    </font>
    <font>
      <b/>
      <i/>
      <sz val="16"/>
      <color theme="3"/>
      <name val="Arial"/>
      <family val="2"/>
    </font>
    <font>
      <b/>
      <sz val="20"/>
      <color theme="3"/>
      <name val="Arial"/>
      <family val="2"/>
    </font>
    <font>
      <b/>
      <sz val="11"/>
      <color theme="3"/>
      <name val="Arial"/>
      <family val="2"/>
    </font>
    <font>
      <b/>
      <i/>
      <sz val="11"/>
      <color theme="3"/>
      <name val="Arial"/>
      <family val="2"/>
    </font>
    <font>
      <b/>
      <sz val="12"/>
      <color rgb="FFFF0000"/>
      <name val="Arial"/>
      <family val="2"/>
    </font>
    <font>
      <sz val="10"/>
      <color rgb="FFFF0000"/>
      <name val="Arial"/>
      <family val="2"/>
    </font>
    <font>
      <b/>
      <sz val="14"/>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8" tint="-0.249977111117893"/>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79998168889431442"/>
        <bgColor indexed="64"/>
      </patternFill>
    </fill>
  </fills>
  <borders count="23">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diagonal/>
    </border>
    <border>
      <left style="thin">
        <color indexed="64"/>
      </left>
      <right style="thin">
        <color indexed="64"/>
      </right>
      <top style="thin">
        <color indexed="64"/>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right/>
      <top style="thick">
        <color indexed="9"/>
      </top>
      <bottom style="thick">
        <color indexed="9"/>
      </bottom>
      <diagonal/>
    </border>
    <border>
      <left style="double">
        <color rgb="FFFF0000"/>
      </left>
      <right style="double">
        <color rgb="FFFF0000"/>
      </right>
      <top style="double">
        <color rgb="FFFF0000"/>
      </top>
      <bottom style="double">
        <color rgb="FFFF0000"/>
      </bottom>
      <diagonal/>
    </border>
    <border>
      <left/>
      <right/>
      <top/>
      <bottom style="hair">
        <color theme="8"/>
      </bottom>
      <diagonal/>
    </border>
    <border>
      <left/>
      <right/>
      <top style="hair">
        <color theme="8"/>
      </top>
      <bottom style="medium">
        <color theme="8"/>
      </bottom>
      <diagonal/>
    </border>
    <border>
      <left/>
      <right/>
      <top style="hair">
        <color theme="8"/>
      </top>
      <bottom style="hair">
        <color theme="8"/>
      </bottom>
      <diagonal/>
    </border>
    <border>
      <left/>
      <right/>
      <top/>
      <bottom style="thick">
        <color theme="8"/>
      </bottom>
      <diagonal/>
    </border>
    <border>
      <left/>
      <right/>
      <top/>
      <bottom style="medium">
        <color theme="8"/>
      </bottom>
      <diagonal/>
    </border>
    <border>
      <left/>
      <right/>
      <top style="medium">
        <color theme="8"/>
      </top>
      <bottom/>
      <diagonal/>
    </border>
    <border>
      <left/>
      <right/>
      <top/>
      <bottom style="thin">
        <color theme="8"/>
      </bottom>
      <diagonal/>
    </border>
    <border>
      <left/>
      <right/>
      <top style="thin">
        <color theme="8"/>
      </top>
      <bottom style="thin">
        <color theme="8"/>
      </bottom>
      <diagonal/>
    </border>
    <border>
      <left/>
      <right/>
      <top style="thin">
        <color theme="8"/>
      </top>
      <bottom style="medium">
        <color theme="8"/>
      </bottom>
      <diagonal/>
    </border>
    <border>
      <left/>
      <right/>
      <top style="medium">
        <color theme="8"/>
      </top>
      <bottom style="hair">
        <color theme="8"/>
      </bottom>
      <diagonal/>
    </border>
    <border>
      <left/>
      <right/>
      <top/>
      <bottom style="medium">
        <color theme="3"/>
      </bottom>
      <diagonal/>
    </border>
    <border>
      <left/>
      <right/>
      <top style="medium">
        <color theme="3"/>
      </top>
      <bottom style="medium">
        <color theme="3"/>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229">
    <xf numFmtId="0" fontId="0" fillId="0" borderId="0" xfId="0"/>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167" fontId="5" fillId="0" borderId="0" xfId="0" applyNumberFormat="1" applyFont="1" applyAlignment="1" applyProtection="1">
      <alignment vertical="center"/>
      <protection hidden="1"/>
    </xf>
    <xf numFmtId="0" fontId="4" fillId="0" borderId="0" xfId="0" applyFont="1" applyBorder="1" applyAlignment="1" applyProtection="1">
      <alignment vertical="center"/>
      <protection hidden="1"/>
    </xf>
    <xf numFmtId="0" fontId="6" fillId="0" borderId="0" xfId="0" applyFont="1" applyAlignment="1" applyProtection="1">
      <alignment horizontal="right" vertical="center"/>
      <protection hidden="1"/>
    </xf>
    <xf numFmtId="0" fontId="8" fillId="0" borderId="0" xfId="0" applyFont="1" applyFill="1" applyBorder="1" applyAlignment="1" applyProtection="1">
      <alignment vertical="top" wrapText="1"/>
      <protection hidden="1"/>
    </xf>
    <xf numFmtId="0" fontId="5" fillId="0" borderId="0" xfId="0" applyFont="1" applyBorder="1" applyProtection="1">
      <protection hidden="1"/>
    </xf>
    <xf numFmtId="167"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17" fillId="0" borderId="1" xfId="0" applyFont="1" applyBorder="1" applyAlignment="1" applyProtection="1">
      <alignment vertical="center"/>
      <protection hidden="1"/>
    </xf>
    <xf numFmtId="169" fontId="7"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right"/>
      <protection hidden="1"/>
    </xf>
    <xf numFmtId="0" fontId="16" fillId="0" borderId="0" xfId="0" applyFont="1" applyAlignment="1" applyProtection="1">
      <alignment vertical="center"/>
      <protection hidden="1"/>
    </xf>
    <xf numFmtId="0" fontId="15" fillId="0" borderId="0" xfId="0" applyFont="1" applyBorder="1" applyAlignment="1" applyProtection="1">
      <alignment horizontal="center" vertical="center" wrapText="1"/>
      <protection hidden="1"/>
    </xf>
    <xf numFmtId="0" fontId="19" fillId="0" borderId="0" xfId="0" applyFont="1" applyAlignment="1" applyProtection="1">
      <alignment vertical="center"/>
      <protection hidden="1"/>
    </xf>
    <xf numFmtId="169" fontId="21" fillId="2" borderId="1" xfId="0" applyNumberFormat="1" applyFont="1" applyFill="1" applyBorder="1" applyAlignment="1" applyProtection="1">
      <alignment horizontal="center" vertical="center" wrapText="1"/>
      <protection hidden="1"/>
    </xf>
    <xf numFmtId="0" fontId="14" fillId="0" borderId="0" xfId="0" applyFont="1" applyFill="1" applyAlignment="1" applyProtection="1">
      <alignment horizontal="right" vertical="center"/>
      <protection hidden="1"/>
    </xf>
    <xf numFmtId="0" fontId="0" fillId="0" borderId="0" xfId="0" applyProtection="1">
      <protection hidden="1"/>
    </xf>
    <xf numFmtId="0" fontId="12" fillId="0" borderId="0" xfId="0" applyFont="1" applyFill="1" applyBorder="1" applyAlignment="1" applyProtection="1">
      <alignment horizontal="center" vertical="top" wrapText="1"/>
      <protection hidden="1"/>
    </xf>
    <xf numFmtId="0" fontId="14" fillId="0" borderId="0"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164" fontId="20" fillId="2" borderId="2" xfId="0" applyNumberFormat="1" applyFont="1" applyFill="1" applyBorder="1" applyAlignment="1" applyProtection="1">
      <alignment horizontal="right" vertical="center"/>
      <protection locked="0"/>
    </xf>
    <xf numFmtId="3" fontId="20" fillId="2" borderId="2" xfId="0" applyNumberFormat="1" applyFont="1" applyFill="1" applyBorder="1" applyAlignment="1" applyProtection="1">
      <alignment horizontal="right" vertical="center"/>
      <protection locked="0"/>
    </xf>
    <xf numFmtId="0" fontId="31" fillId="0" borderId="0" xfId="0" applyFont="1" applyAlignment="1" applyProtection="1">
      <alignment vertical="center"/>
      <protection hidden="1"/>
    </xf>
    <xf numFmtId="0" fontId="20" fillId="2" borderId="1" xfId="3" applyNumberFormat="1" applyFont="1" applyFill="1" applyBorder="1" applyAlignment="1" applyProtection="1">
      <alignment horizontal="right" vertical="center"/>
      <protection locked="0"/>
    </xf>
    <xf numFmtId="0" fontId="32" fillId="0" borderId="0" xfId="0" applyFont="1" applyBorder="1" applyAlignment="1" applyProtection="1">
      <alignment horizontal="right" vertical="center"/>
      <protection hidden="1"/>
    </xf>
    <xf numFmtId="0" fontId="32" fillId="0" borderId="2" xfId="0" applyFont="1" applyBorder="1" applyAlignment="1" applyProtection="1">
      <alignment horizontal="right" vertical="center"/>
      <protection hidden="1"/>
    </xf>
    <xf numFmtId="0" fontId="32" fillId="0" borderId="1" xfId="0" applyFont="1" applyBorder="1" applyAlignment="1" applyProtection="1">
      <alignment horizontal="right" vertical="center"/>
      <protection hidden="1"/>
    </xf>
    <xf numFmtId="168" fontId="33" fillId="0" borderId="0" xfId="0" applyNumberFormat="1" applyFont="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32" fillId="0" borderId="0" xfId="0" applyFont="1" applyBorder="1" applyAlignment="1" applyProtection="1">
      <alignment horizontal="right"/>
      <protection hidden="1"/>
    </xf>
    <xf numFmtId="169" fontId="19" fillId="0" borderId="0" xfId="0" applyNumberFormat="1" applyFont="1" applyBorder="1" applyAlignment="1" applyProtection="1">
      <alignment vertical="center"/>
      <protection hidden="1"/>
    </xf>
    <xf numFmtId="0" fontId="18" fillId="3" borderId="2" xfId="0" applyFont="1" applyFill="1" applyBorder="1" applyAlignment="1" applyProtection="1">
      <alignment horizontal="center" vertical="center"/>
      <protection hidden="1"/>
    </xf>
    <xf numFmtId="0" fontId="19" fillId="0" borderId="0" xfId="0" applyFont="1" applyFill="1" applyAlignment="1" applyProtection="1">
      <alignment vertical="center"/>
      <protection hidden="1"/>
    </xf>
    <xf numFmtId="0" fontId="35" fillId="0" borderId="0" xfId="0" applyFont="1" applyFill="1" applyBorder="1" applyAlignment="1" applyProtection="1">
      <alignment horizontal="right"/>
      <protection hidden="1"/>
    </xf>
    <xf numFmtId="0" fontId="32" fillId="0" borderId="0" xfId="0" applyFont="1" applyAlignment="1" applyProtection="1">
      <alignment horizontal="right" vertical="center"/>
      <protection hidden="1"/>
    </xf>
    <xf numFmtId="0" fontId="32" fillId="0" borderId="0" xfId="0" applyFont="1" applyAlignment="1" applyProtection="1">
      <alignment horizontal="right"/>
      <protection hidden="1"/>
    </xf>
    <xf numFmtId="0" fontId="36" fillId="0" borderId="0" xfId="0" applyFont="1" applyFill="1" applyBorder="1" applyAlignment="1" applyProtection="1">
      <alignment horizontal="left" vertical="top" wrapText="1"/>
      <protection hidden="1"/>
    </xf>
    <xf numFmtId="0" fontId="2" fillId="4" borderId="0" xfId="2" applyFont="1" applyFill="1" applyAlignment="1" applyProtection="1">
      <alignment horizontal="center"/>
      <protection hidden="1"/>
    </xf>
    <xf numFmtId="0" fontId="1" fillId="0" borderId="0" xfId="2" applyFont="1" applyProtection="1">
      <protection hidden="1"/>
    </xf>
    <xf numFmtId="0" fontId="37" fillId="5" borderId="10" xfId="2" applyFont="1" applyFill="1" applyBorder="1" applyAlignment="1" applyProtection="1">
      <alignment wrapText="1"/>
      <protection hidden="1"/>
    </xf>
    <xf numFmtId="10" fontId="1" fillId="0" borderId="11" xfId="3" applyNumberFormat="1" applyFont="1" applyFill="1" applyBorder="1" applyAlignment="1" applyProtection="1">
      <alignment horizontal="center"/>
      <protection hidden="1"/>
    </xf>
    <xf numFmtId="4" fontId="2" fillId="5" borderId="0" xfId="2" applyNumberFormat="1" applyFont="1" applyFill="1" applyAlignment="1" applyProtection="1">
      <alignment horizontal="center" vertical="center"/>
      <protection hidden="1"/>
    </xf>
    <xf numFmtId="10" fontId="1" fillId="5" borderId="0" xfId="2" applyNumberFormat="1" applyFont="1" applyFill="1" applyProtection="1">
      <protection hidden="1"/>
    </xf>
    <xf numFmtId="10" fontId="1" fillId="0" borderId="12" xfId="3" applyNumberFormat="1" applyFont="1" applyFill="1" applyBorder="1" applyAlignment="1" applyProtection="1">
      <alignment horizontal="center"/>
      <protection hidden="1"/>
    </xf>
    <xf numFmtId="10" fontId="1" fillId="0" borderId="0" xfId="2" applyNumberFormat="1" applyProtection="1">
      <protection hidden="1"/>
    </xf>
    <xf numFmtId="0" fontId="2" fillId="0" borderId="12" xfId="1" applyNumberFormat="1" applyFont="1" applyFill="1" applyBorder="1" applyAlignment="1" applyProtection="1">
      <alignment horizontal="left"/>
      <protection hidden="1"/>
    </xf>
    <xf numFmtId="3" fontId="1" fillId="0" borderId="12" xfId="1" applyNumberFormat="1" applyFont="1" applyFill="1" applyBorder="1" applyAlignment="1" applyProtection="1">
      <alignment horizontal="center"/>
      <protection hidden="1"/>
    </xf>
    <xf numFmtId="0" fontId="1" fillId="0" borderId="0" xfId="2" applyFont="1" applyAlignment="1" applyProtection="1">
      <alignment horizontal="center" vertical="center"/>
      <protection hidden="1"/>
    </xf>
    <xf numFmtId="0" fontId="2" fillId="0" borderId="0" xfId="2" applyFont="1" applyFill="1" applyBorder="1" applyAlignment="1" applyProtection="1">
      <alignment horizontal="center"/>
      <protection hidden="1"/>
    </xf>
    <xf numFmtId="169" fontId="1" fillId="0" borderId="0" xfId="1" applyNumberFormat="1" applyFont="1" applyFill="1" applyBorder="1" applyAlignment="1" applyProtection="1">
      <alignment horizontal="center"/>
      <protection hidden="1"/>
    </xf>
    <xf numFmtId="0" fontId="2" fillId="5" borderId="12" xfId="1" applyNumberFormat="1" applyFont="1" applyFill="1" applyBorder="1" applyAlignment="1" applyProtection="1">
      <alignment horizontal="left"/>
      <protection hidden="1"/>
    </xf>
    <xf numFmtId="14" fontId="1" fillId="5" borderId="12" xfId="1" applyNumberFormat="1" applyFont="1" applyFill="1" applyBorder="1" applyAlignment="1" applyProtection="1">
      <alignment horizontal="center"/>
      <protection hidden="1"/>
    </xf>
    <xf numFmtId="169" fontId="1" fillId="5" borderId="12" xfId="1" applyNumberFormat="1" applyFont="1" applyFill="1" applyBorder="1" applyAlignment="1" applyProtection="1">
      <alignment horizontal="center"/>
      <protection hidden="1"/>
    </xf>
    <xf numFmtId="0" fontId="2" fillId="0" borderId="0" xfId="1" applyNumberFormat="1" applyFont="1" applyFill="1" applyBorder="1" applyAlignment="1" applyProtection="1">
      <alignment horizontal="left"/>
      <protection hidden="1"/>
    </xf>
    <xf numFmtId="14" fontId="1" fillId="0" borderId="0" xfId="1" applyNumberFormat="1" applyFont="1" applyFill="1" applyBorder="1" applyAlignment="1" applyProtection="1">
      <alignment horizontal="center"/>
      <protection hidden="1"/>
    </xf>
    <xf numFmtId="0" fontId="2" fillId="4" borderId="0" xfId="2" applyFont="1" applyFill="1" applyAlignment="1" applyProtection="1">
      <alignment horizontal="center" wrapText="1"/>
      <protection hidden="1"/>
    </xf>
    <xf numFmtId="165" fontId="25" fillId="0" borderId="0" xfId="1" applyFont="1" applyFill="1" applyAlignment="1" applyProtection="1">
      <protection hidden="1"/>
    </xf>
    <xf numFmtId="4" fontId="2" fillId="5" borderId="0" xfId="1" applyNumberFormat="1" applyFont="1" applyFill="1" applyAlignment="1" applyProtection="1">
      <alignment horizontal="center" vertical="center"/>
      <protection hidden="1"/>
    </xf>
    <xf numFmtId="10" fontId="1" fillId="5" borderId="0" xfId="1" applyNumberFormat="1" applyFont="1" applyFill="1" applyProtection="1">
      <protection hidden="1"/>
    </xf>
    <xf numFmtId="0" fontId="1" fillId="0" borderId="0" xfId="2" applyFont="1" applyAlignment="1" applyProtection="1">
      <alignment horizontal="center"/>
      <protection hidden="1"/>
    </xf>
    <xf numFmtId="165" fontId="1" fillId="0" borderId="0" xfId="1" applyFont="1" applyAlignment="1" applyProtection="1">
      <alignment horizontal="center"/>
      <protection hidden="1"/>
    </xf>
    <xf numFmtId="165" fontId="1" fillId="0" borderId="0" xfId="1" applyFont="1" applyProtection="1">
      <protection hidden="1"/>
    </xf>
    <xf numFmtId="10" fontId="1" fillId="5" borderId="0" xfId="1" applyNumberFormat="1" applyFont="1" applyFill="1" applyAlignment="1" applyProtection="1">
      <protection hidden="1"/>
    </xf>
    <xf numFmtId="166" fontId="1" fillId="0" borderId="0" xfId="2" applyNumberFormat="1" applyFont="1" applyFill="1" applyProtection="1">
      <protection hidden="1"/>
    </xf>
    <xf numFmtId="0" fontId="1" fillId="0" borderId="0" xfId="2" applyFont="1" applyFill="1" applyProtection="1">
      <protection hidden="1"/>
    </xf>
    <xf numFmtId="165" fontId="2" fillId="4" borderId="0" xfId="1" applyFont="1" applyFill="1" applyAlignment="1" applyProtection="1">
      <alignment horizontal="center"/>
      <protection hidden="1"/>
    </xf>
    <xf numFmtId="165" fontId="26" fillId="4" borderId="0" xfId="1" applyFont="1" applyFill="1" applyAlignment="1" applyProtection="1">
      <alignment horizontal="center"/>
      <protection hidden="1"/>
    </xf>
    <xf numFmtId="171" fontId="1" fillId="0" borderId="0" xfId="2" applyNumberFormat="1" applyFont="1" applyFill="1" applyProtection="1">
      <protection hidden="1"/>
    </xf>
    <xf numFmtId="2" fontId="1" fillId="0" borderId="0" xfId="2" applyNumberFormat="1" applyFont="1" applyFill="1" applyProtection="1">
      <protection hidden="1"/>
    </xf>
    <xf numFmtId="10" fontId="1" fillId="0" borderId="0" xfId="2" applyNumberFormat="1" applyFont="1" applyFill="1" applyProtection="1">
      <protection hidden="1"/>
    </xf>
    <xf numFmtId="170" fontId="1" fillId="0" borderId="0" xfId="2" applyNumberFormat="1" applyFont="1" applyFill="1" applyProtection="1">
      <protection hidden="1"/>
    </xf>
    <xf numFmtId="165" fontId="1" fillId="0" borderId="0" xfId="1" applyFont="1" applyFill="1" applyProtection="1">
      <protection hidden="1"/>
    </xf>
    <xf numFmtId="0" fontId="1" fillId="0" borderId="0" xfId="2" applyFont="1" applyFill="1" applyAlignment="1" applyProtection="1">
      <alignment horizontal="right"/>
      <protection hidden="1"/>
    </xf>
    <xf numFmtId="165" fontId="3" fillId="0" borderId="0" xfId="1" applyFont="1" applyProtection="1">
      <protection hidden="1"/>
    </xf>
    <xf numFmtId="166" fontId="2" fillId="0" borderId="11" xfId="2" applyNumberFormat="1" applyFont="1" applyBorder="1" applyAlignment="1" applyProtection="1">
      <alignment horizontal="left"/>
      <protection hidden="1"/>
    </xf>
    <xf numFmtId="3" fontId="2" fillId="0" borderId="11" xfId="2" applyNumberFormat="1" applyFont="1" applyBorder="1" applyAlignment="1" applyProtection="1">
      <alignment horizontal="left"/>
      <protection hidden="1"/>
    </xf>
    <xf numFmtId="3" fontId="1" fillId="0" borderId="11" xfId="2" applyNumberFormat="1" applyFont="1" applyBorder="1" applyAlignment="1" applyProtection="1">
      <alignment horizontal="center"/>
      <protection hidden="1"/>
    </xf>
    <xf numFmtId="165" fontId="2" fillId="0" borderId="13" xfId="1" applyFont="1" applyFill="1" applyBorder="1" applyAlignment="1" applyProtection="1">
      <protection hidden="1"/>
    </xf>
    <xf numFmtId="172" fontId="1" fillId="0" borderId="13" xfId="2" applyNumberFormat="1" applyFont="1" applyBorder="1" applyAlignment="1" applyProtection="1">
      <alignment horizontal="center"/>
      <protection hidden="1"/>
    </xf>
    <xf numFmtId="166" fontId="1" fillId="0" borderId="13" xfId="2" applyNumberFormat="1" applyFont="1" applyBorder="1" applyAlignment="1" applyProtection="1">
      <alignment horizontal="center"/>
      <protection hidden="1"/>
    </xf>
    <xf numFmtId="4" fontId="1" fillId="0" borderId="13" xfId="2" applyNumberFormat="1" applyFont="1" applyBorder="1" applyAlignment="1" applyProtection="1">
      <alignment horizontal="center"/>
      <protection hidden="1"/>
    </xf>
    <xf numFmtId="0" fontId="2" fillId="0" borderId="11" xfId="1" applyNumberFormat="1" applyFont="1" applyFill="1" applyBorder="1" applyAlignment="1" applyProtection="1">
      <alignment horizontal="left" vertical="center"/>
      <protection hidden="1"/>
    </xf>
    <xf numFmtId="9" fontId="1" fillId="5" borderId="11" xfId="3" applyFont="1" applyFill="1" applyBorder="1" applyAlignment="1" applyProtection="1">
      <alignment horizontal="center" vertical="center"/>
      <protection hidden="1"/>
    </xf>
    <xf numFmtId="3" fontId="1" fillId="5" borderId="11" xfId="1" applyNumberFormat="1" applyFont="1" applyFill="1" applyBorder="1" applyAlignment="1" applyProtection="1">
      <alignment horizontal="center" vertical="center"/>
      <protection hidden="1"/>
    </xf>
    <xf numFmtId="1" fontId="1" fillId="5" borderId="11"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left" vertical="center"/>
      <protection hidden="1"/>
    </xf>
    <xf numFmtId="9" fontId="1" fillId="5" borderId="14" xfId="3" applyFont="1" applyFill="1" applyBorder="1" applyAlignment="1" applyProtection="1">
      <alignment horizontal="center" vertical="center"/>
      <protection hidden="1"/>
    </xf>
    <xf numFmtId="3" fontId="1" fillId="5" borderId="14" xfId="1" applyNumberFormat="1" applyFont="1" applyFill="1" applyBorder="1" applyAlignment="1" applyProtection="1">
      <alignment horizontal="center" vertical="center"/>
      <protection hidden="1"/>
    </xf>
    <xf numFmtId="169" fontId="1" fillId="5" borderId="14" xfId="1" applyNumberFormat="1" applyFont="1" applyFill="1" applyBorder="1" applyAlignment="1" applyProtection="1">
      <alignment horizontal="center" vertical="center"/>
      <protection hidden="1"/>
    </xf>
    <xf numFmtId="1" fontId="1" fillId="5" borderId="14" xfId="1" applyNumberFormat="1" applyFont="1" applyFill="1" applyBorder="1" applyAlignment="1" applyProtection="1">
      <alignment horizontal="center" vertical="center" wrapText="1"/>
      <protection hidden="1"/>
    </xf>
    <xf numFmtId="0" fontId="2" fillId="0" borderId="15" xfId="2" applyFont="1" applyBorder="1" applyProtection="1">
      <protection hidden="1"/>
    </xf>
    <xf numFmtId="3" fontId="38" fillId="0" borderId="0" xfId="1" applyNumberFormat="1" applyFont="1" applyFill="1" applyBorder="1" applyAlignment="1" applyProtection="1">
      <alignment horizontal="center"/>
      <protection hidden="1"/>
    </xf>
    <xf numFmtId="3" fontId="38" fillId="0" borderId="0" xfId="2" applyNumberFormat="1" applyFont="1" applyAlignment="1" applyProtection="1">
      <alignment horizontal="center"/>
      <protection hidden="1"/>
    </xf>
    <xf numFmtId="3" fontId="1" fillId="0" borderId="11" xfId="1" applyNumberFormat="1" applyFont="1" applyFill="1" applyBorder="1" applyAlignment="1" applyProtection="1">
      <alignment horizontal="center" vertical="center"/>
      <protection hidden="1"/>
    </xf>
    <xf numFmtId="3" fontId="1" fillId="0" borderId="11" xfId="1" applyNumberFormat="1" applyFont="1" applyFill="1" applyBorder="1" applyAlignment="1" applyProtection="1">
      <alignment horizontal="center" vertical="center" wrapText="1"/>
      <protection hidden="1"/>
    </xf>
    <xf numFmtId="9" fontId="1" fillId="0" borderId="11" xfId="3" applyFont="1" applyFill="1" applyBorder="1" applyAlignment="1" applyProtection="1">
      <alignment horizontal="center" vertical="center"/>
      <protection hidden="1"/>
    </xf>
    <xf numFmtId="169" fontId="1" fillId="0" borderId="11" xfId="3" applyNumberFormat="1" applyFont="1" applyFill="1" applyBorder="1" applyAlignment="1" applyProtection="1">
      <alignment horizontal="center" vertical="center"/>
      <protection hidden="1"/>
    </xf>
    <xf numFmtId="169" fontId="1" fillId="0" borderId="11" xfId="1" applyNumberFormat="1" applyFont="1" applyFill="1" applyBorder="1" applyAlignment="1" applyProtection="1">
      <alignment horizontal="center" vertical="center"/>
      <protection hidden="1"/>
    </xf>
    <xf numFmtId="173" fontId="1" fillId="0" borderId="11" xfId="1" applyNumberFormat="1" applyFont="1" applyFill="1" applyBorder="1" applyAlignment="1" applyProtection="1">
      <alignment horizontal="center" vertical="center" wrapText="1"/>
      <protection hidden="1"/>
    </xf>
    <xf numFmtId="9" fontId="1" fillId="0" borderId="12" xfId="3" applyFont="1" applyFill="1" applyBorder="1" applyAlignment="1" applyProtection="1">
      <alignment horizontal="center"/>
      <protection hidden="1"/>
    </xf>
    <xf numFmtId="165" fontId="26" fillId="0" borderId="0" xfId="1" applyFont="1" applyFill="1" applyBorder="1" applyAlignment="1" applyProtection="1">
      <alignment horizontal="center"/>
      <protection hidden="1"/>
    </xf>
    <xf numFmtId="9" fontId="1" fillId="0" borderId="11" xfId="3" applyFont="1" applyBorder="1" applyAlignment="1" applyProtection="1">
      <alignment horizontal="center"/>
      <protection hidden="1"/>
    </xf>
    <xf numFmtId="166" fontId="1" fillId="0" borderId="0" xfId="2" applyNumberFormat="1" applyFont="1" applyBorder="1" applyAlignment="1" applyProtection="1">
      <alignment horizontal="center"/>
      <protection hidden="1"/>
    </xf>
    <xf numFmtId="9" fontId="1" fillId="0" borderId="13" xfId="3" applyFont="1" applyBorder="1" applyAlignment="1" applyProtection="1">
      <alignment horizontal="center"/>
      <protection hidden="1"/>
    </xf>
    <xf numFmtId="3" fontId="2" fillId="0" borderId="0" xfId="2" applyNumberFormat="1" applyFont="1" applyBorder="1" applyAlignment="1" applyProtection="1">
      <alignment horizontal="left"/>
      <protection hidden="1"/>
    </xf>
    <xf numFmtId="3" fontId="1" fillId="0" borderId="0" xfId="2" applyNumberFormat="1" applyFont="1" applyBorder="1" applyAlignment="1" applyProtection="1">
      <alignment horizontal="center"/>
      <protection hidden="1"/>
    </xf>
    <xf numFmtId="0" fontId="2" fillId="5" borderId="16" xfId="1" applyNumberFormat="1" applyFont="1" applyFill="1" applyBorder="1" applyAlignment="1" applyProtection="1">
      <alignment horizontal="left"/>
      <protection hidden="1"/>
    </xf>
    <xf numFmtId="14" fontId="1" fillId="5" borderId="16" xfId="1" applyNumberFormat="1" applyFont="1" applyFill="1" applyBorder="1" applyAlignment="1" applyProtection="1">
      <alignment horizontal="center"/>
      <protection hidden="1"/>
    </xf>
    <xf numFmtId="169" fontId="1" fillId="5" borderId="16" xfId="1" applyNumberFormat="1" applyFont="1" applyFill="1" applyBorder="1" applyAlignment="1" applyProtection="1">
      <alignment horizontal="center"/>
      <protection hidden="1"/>
    </xf>
    <xf numFmtId="165" fontId="2" fillId="0" borderId="13" xfId="1" applyFont="1" applyFill="1" applyBorder="1" applyAlignment="1" applyProtection="1">
      <alignment vertical="center"/>
      <protection hidden="1"/>
    </xf>
    <xf numFmtId="166" fontId="1" fillId="0" borderId="13" xfId="2" applyNumberFormat="1" applyFont="1" applyBorder="1" applyAlignment="1" applyProtection="1">
      <alignment horizontal="center" vertical="center"/>
      <protection hidden="1"/>
    </xf>
    <xf numFmtId="166" fontId="1" fillId="0" borderId="13" xfId="2" applyNumberFormat="1" applyFont="1" applyBorder="1" applyAlignment="1" applyProtection="1">
      <alignment horizontal="center" vertical="center" wrapText="1"/>
      <protection hidden="1"/>
    </xf>
    <xf numFmtId="0" fontId="2" fillId="5" borderId="15" xfId="1" applyNumberFormat="1" applyFont="1" applyFill="1" applyBorder="1" applyAlignment="1" applyProtection="1">
      <alignment horizontal="left" vertical="center"/>
      <protection hidden="1"/>
    </xf>
    <xf numFmtId="14" fontId="1" fillId="5" borderId="15" xfId="1" applyNumberFormat="1" applyFont="1" applyFill="1" applyBorder="1" applyAlignment="1" applyProtection="1">
      <alignment horizontal="center" vertical="center"/>
      <protection hidden="1"/>
    </xf>
    <xf numFmtId="169" fontId="1" fillId="5" borderId="15" xfId="1" applyNumberFormat="1" applyFont="1" applyFill="1" applyBorder="1" applyAlignment="1" applyProtection="1">
      <alignment horizontal="center" vertical="center"/>
      <protection hidden="1"/>
    </xf>
    <xf numFmtId="169" fontId="1" fillId="5" borderId="15" xfId="1" applyNumberFormat="1"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10" fontId="19" fillId="0" borderId="0" xfId="0" applyNumberFormat="1" applyFont="1" applyBorder="1" applyAlignment="1" applyProtection="1">
      <alignment vertical="center"/>
      <protection hidden="1"/>
    </xf>
    <xf numFmtId="0" fontId="19" fillId="0" borderId="0" xfId="0" applyNumberFormat="1"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20" fillId="2" borderId="1" xfId="3" applyNumberFormat="1" applyFont="1" applyFill="1" applyBorder="1" applyAlignment="1" applyProtection="1">
      <alignment horizontal="right" vertical="center"/>
      <protection locked="0"/>
    </xf>
    <xf numFmtId="0" fontId="18" fillId="3" borderId="1" xfId="0" applyFont="1" applyFill="1" applyBorder="1" applyAlignment="1" applyProtection="1">
      <alignment horizontal="center" vertical="center"/>
      <protection locked="0"/>
    </xf>
    <xf numFmtId="14" fontId="39" fillId="6" borderId="0" xfId="2" applyNumberFormat="1" applyFont="1" applyFill="1" applyProtection="1">
      <protection hidden="1"/>
    </xf>
    <xf numFmtId="4" fontId="40" fillId="0" borderId="0" xfId="2" applyNumberFormat="1" applyFont="1" applyProtection="1">
      <protection hidden="1"/>
    </xf>
    <xf numFmtId="4" fontId="39" fillId="6" borderId="0" xfId="2" applyNumberFormat="1" applyFont="1" applyFill="1" applyProtection="1">
      <protection hidden="1"/>
    </xf>
    <xf numFmtId="8" fontId="1" fillId="0" borderId="0" xfId="2" applyNumberFormat="1" applyFont="1" applyProtection="1">
      <protection hidden="1"/>
    </xf>
    <xf numFmtId="43" fontId="1" fillId="0" borderId="0" xfId="2" applyNumberFormat="1" applyFont="1" applyProtection="1">
      <protection hidden="1"/>
    </xf>
    <xf numFmtId="169" fontId="1" fillId="5" borderId="17" xfId="1" applyNumberFormat="1" applyFont="1" applyFill="1" applyBorder="1" applyAlignment="1" applyProtection="1">
      <alignment horizontal="center"/>
      <protection hidden="1"/>
    </xf>
    <xf numFmtId="4" fontId="1" fillId="5" borderId="17" xfId="1" applyNumberFormat="1" applyFont="1" applyFill="1" applyBorder="1" applyAlignment="1" applyProtection="1">
      <alignment horizontal="center"/>
      <protection hidden="1"/>
    </xf>
    <xf numFmtId="2" fontId="2" fillId="7" borderId="17" xfId="1" applyNumberFormat="1" applyFont="1" applyFill="1" applyBorder="1" applyAlignment="1" applyProtection="1">
      <alignment horizontal="center"/>
      <protection hidden="1"/>
    </xf>
    <xf numFmtId="2" fontId="2" fillId="7" borderId="17" xfId="2" applyNumberFormat="1" applyFont="1" applyFill="1" applyBorder="1" applyAlignment="1" applyProtection="1">
      <alignment horizontal="center"/>
      <protection hidden="1"/>
    </xf>
    <xf numFmtId="169" fontId="1" fillId="5" borderId="18" xfId="1" applyNumberFormat="1" applyFont="1" applyFill="1" applyBorder="1" applyAlignment="1" applyProtection="1">
      <alignment horizontal="center"/>
      <protection hidden="1"/>
    </xf>
    <xf numFmtId="4" fontId="1" fillId="5" borderId="18" xfId="1" applyNumberFormat="1" applyFont="1" applyFill="1" applyBorder="1" applyAlignment="1" applyProtection="1">
      <alignment horizontal="center"/>
      <protection hidden="1"/>
    </xf>
    <xf numFmtId="2" fontId="2" fillId="7" borderId="18" xfId="1" applyNumberFormat="1" applyFont="1" applyFill="1" applyBorder="1" applyAlignment="1" applyProtection="1">
      <alignment horizontal="center"/>
      <protection hidden="1"/>
    </xf>
    <xf numFmtId="2" fontId="2" fillId="7" borderId="18" xfId="2" applyNumberFormat="1" applyFont="1" applyFill="1" applyBorder="1" applyAlignment="1" applyProtection="1">
      <alignment horizontal="center"/>
      <protection hidden="1"/>
    </xf>
    <xf numFmtId="169" fontId="1" fillId="5" borderId="19" xfId="1" applyNumberFormat="1" applyFont="1" applyFill="1" applyBorder="1" applyAlignment="1" applyProtection="1">
      <alignment horizontal="center"/>
      <protection hidden="1"/>
    </xf>
    <xf numFmtId="4" fontId="1" fillId="5" borderId="19" xfId="1" applyNumberFormat="1" applyFont="1" applyFill="1" applyBorder="1" applyAlignment="1" applyProtection="1">
      <alignment horizontal="center"/>
      <protection hidden="1"/>
    </xf>
    <xf numFmtId="2" fontId="2" fillId="7" borderId="19" xfId="1" applyNumberFormat="1" applyFont="1" applyFill="1" applyBorder="1" applyAlignment="1" applyProtection="1">
      <alignment horizontal="center"/>
      <protection hidden="1"/>
    </xf>
    <xf numFmtId="2" fontId="2" fillId="7" borderId="19" xfId="2" applyNumberFormat="1" applyFont="1" applyFill="1" applyBorder="1" applyAlignment="1" applyProtection="1">
      <alignment horizontal="center"/>
      <protection hidden="1"/>
    </xf>
    <xf numFmtId="43" fontId="1" fillId="0" borderId="0" xfId="2" applyNumberFormat="1" applyFont="1" applyAlignment="1" applyProtection="1">
      <alignment wrapText="1"/>
      <protection hidden="1"/>
    </xf>
    <xf numFmtId="2" fontId="1" fillId="0" borderId="0" xfId="2" applyNumberFormat="1" applyFont="1" applyAlignment="1" applyProtection="1">
      <alignment horizontal="center"/>
      <protection hidden="1"/>
    </xf>
    <xf numFmtId="0" fontId="1" fillId="0" borderId="0" xfId="2" applyFont="1" applyAlignment="1" applyProtection="1">
      <alignment horizontal="right"/>
      <protection hidden="1"/>
    </xf>
    <xf numFmtId="174" fontId="1" fillId="5" borderId="0" xfId="2" applyNumberFormat="1" applyFont="1" applyFill="1" applyAlignment="1" applyProtection="1">
      <alignment horizontal="center"/>
      <protection hidden="1"/>
    </xf>
    <xf numFmtId="8" fontId="2" fillId="4" borderId="0" xfId="2" applyNumberFormat="1" applyFont="1" applyFill="1" applyAlignment="1" applyProtection="1">
      <alignment horizontal="center"/>
      <protection hidden="1"/>
    </xf>
    <xf numFmtId="4" fontId="1" fillId="5" borderId="0" xfId="2" applyNumberFormat="1" applyFont="1" applyFill="1" applyAlignment="1" applyProtection="1">
      <alignment horizontal="center"/>
      <protection hidden="1"/>
    </xf>
    <xf numFmtId="0" fontId="2" fillId="0" borderId="13" xfId="1" applyNumberFormat="1" applyFont="1" applyFill="1" applyBorder="1" applyAlignment="1" applyProtection="1">
      <alignment horizontal="left" vertical="center"/>
      <protection hidden="1"/>
    </xf>
    <xf numFmtId="9" fontId="1" fillId="5" borderId="13" xfId="3" applyFont="1" applyFill="1" applyBorder="1" applyAlignment="1" applyProtection="1">
      <alignment horizontal="center" vertical="center"/>
      <protection hidden="1"/>
    </xf>
    <xf numFmtId="3" fontId="1" fillId="5" borderId="13" xfId="1" applyNumberFormat="1" applyFont="1" applyFill="1" applyBorder="1" applyAlignment="1" applyProtection="1">
      <alignment horizontal="center" vertical="center"/>
      <protection hidden="1"/>
    </xf>
    <xf numFmtId="1" fontId="1" fillId="5" borderId="13" xfId="1" applyNumberFormat="1" applyFont="1" applyFill="1" applyBorder="1" applyAlignment="1" applyProtection="1">
      <alignment horizontal="center" vertical="center" wrapText="1"/>
      <protection hidden="1"/>
    </xf>
    <xf numFmtId="9" fontId="1" fillId="5" borderId="11" xfId="3"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protection hidden="1"/>
    </xf>
    <xf numFmtId="3" fontId="1" fillId="0" borderId="11" xfId="3" applyNumberFormat="1" applyFont="1" applyFill="1" applyBorder="1" applyAlignment="1" applyProtection="1">
      <alignment horizontal="center"/>
      <protection hidden="1"/>
    </xf>
    <xf numFmtId="3" fontId="1" fillId="0" borderId="12" xfId="3" applyNumberFormat="1" applyFont="1" applyFill="1" applyBorder="1" applyAlignment="1" applyProtection="1">
      <alignment horizontal="center"/>
      <protection hidden="1"/>
    </xf>
    <xf numFmtId="0" fontId="20" fillId="2" borderId="1" xfId="3" applyNumberFormat="1" applyFont="1" applyFill="1" applyBorder="1" applyAlignment="1" applyProtection="1">
      <alignment horizontal="right" vertical="center"/>
      <protection locked="0" hidden="1"/>
    </xf>
    <xf numFmtId="0" fontId="1" fillId="0" borderId="20" xfId="2" applyFont="1" applyBorder="1" applyProtection="1">
      <protection hidden="1"/>
    </xf>
    <xf numFmtId="0" fontId="1" fillId="0" borderId="13" xfId="2" applyFont="1" applyBorder="1" applyProtection="1">
      <protection hidden="1"/>
    </xf>
    <xf numFmtId="0" fontId="1" fillId="0" borderId="20" xfId="2" applyFont="1" applyBorder="1" applyAlignment="1" applyProtection="1">
      <alignment horizontal="center"/>
      <protection hidden="1"/>
    </xf>
    <xf numFmtId="0" fontId="1" fillId="0" borderId="13" xfId="2" applyFont="1" applyBorder="1" applyAlignment="1" applyProtection="1">
      <alignment horizontal="center"/>
      <protection hidden="1"/>
    </xf>
    <xf numFmtId="3" fontId="2" fillId="0" borderId="11" xfId="1" applyNumberFormat="1" applyFont="1" applyFill="1" applyBorder="1" applyAlignment="1" applyProtection="1">
      <alignment horizontal="left" vertical="center"/>
      <protection hidden="1"/>
    </xf>
    <xf numFmtId="10" fontId="20" fillId="2" borderId="1" xfId="3"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top" wrapText="1"/>
      <protection hidden="1"/>
    </xf>
    <xf numFmtId="0" fontId="48" fillId="0" borderId="0" xfId="2" applyFont="1" applyProtection="1">
      <protection hidden="1"/>
    </xf>
    <xf numFmtId="0" fontId="49" fillId="0" borderId="0" xfId="0" applyFont="1" applyFill="1" applyAlignment="1" applyProtection="1">
      <alignment vertical="center"/>
      <protection hidden="1"/>
    </xf>
    <xf numFmtId="0" fontId="48" fillId="0" borderId="0" xfId="0" applyFont="1" applyAlignment="1" applyProtection="1">
      <alignment horizontal="left" vertical="center" wrapText="1"/>
      <protection hidden="1"/>
    </xf>
    <xf numFmtId="1" fontId="1" fillId="0" borderId="0" xfId="2" applyNumberFormat="1" applyFont="1" applyAlignment="1" applyProtection="1">
      <alignment horizontal="center"/>
      <protection hidden="1"/>
    </xf>
    <xf numFmtId="169" fontId="1" fillId="0" borderId="17" xfId="1" applyNumberFormat="1" applyFont="1" applyFill="1" applyBorder="1" applyAlignment="1" applyProtection="1">
      <alignment horizontal="center"/>
      <protection hidden="1"/>
    </xf>
    <xf numFmtId="175" fontId="1" fillId="5" borderId="11" xfId="1" applyNumberFormat="1" applyFont="1" applyFill="1" applyBorder="1" applyAlignment="1" applyProtection="1">
      <alignment horizontal="center" vertical="center"/>
      <protection hidden="1"/>
    </xf>
    <xf numFmtId="175" fontId="1" fillId="5" borderId="13" xfId="1" applyNumberFormat="1" applyFont="1" applyFill="1" applyBorder="1" applyAlignment="1" applyProtection="1">
      <alignment horizontal="center" vertical="center"/>
      <protection hidden="1"/>
    </xf>
    <xf numFmtId="175" fontId="20" fillId="2" borderId="1" xfId="3" applyNumberFormat="1" applyFont="1" applyFill="1" applyBorder="1" applyAlignment="1" applyProtection="1">
      <alignment horizontal="right" vertical="center" wrapText="1"/>
      <protection locked="0"/>
    </xf>
    <xf numFmtId="175" fontId="20" fillId="2" borderId="1" xfId="1" applyNumberFormat="1" applyFont="1" applyFill="1" applyBorder="1" applyAlignment="1" applyProtection="1">
      <alignment horizontal="right" vertical="center"/>
      <protection locked="0"/>
    </xf>
    <xf numFmtId="175" fontId="20" fillId="2" borderId="2" xfId="1" applyNumberFormat="1" applyFont="1" applyFill="1" applyBorder="1" applyAlignment="1" applyProtection="1">
      <alignment horizontal="right" vertical="center"/>
      <protection locked="0"/>
    </xf>
    <xf numFmtId="175" fontId="20" fillId="2" borderId="1" xfId="1" applyNumberFormat="1" applyFont="1" applyFill="1" applyBorder="1" applyAlignment="1" applyProtection="1">
      <alignment horizontal="right" vertical="center"/>
      <protection hidden="1"/>
    </xf>
    <xf numFmtId="175" fontId="42" fillId="2" borderId="1" xfId="0" applyNumberFormat="1" applyFont="1" applyFill="1" applyBorder="1" applyAlignment="1" applyProtection="1">
      <alignment horizontal="center" vertical="center" wrapText="1"/>
      <protection hidden="1"/>
    </xf>
    <xf numFmtId="175" fontId="1" fillId="0" borderId="11" xfId="2" applyNumberFormat="1" applyFont="1" applyBorder="1" applyAlignment="1" applyProtection="1">
      <alignment horizontal="center"/>
      <protection hidden="1"/>
    </xf>
    <xf numFmtId="175" fontId="1" fillId="0" borderId="13" xfId="2" applyNumberFormat="1" applyFont="1" applyBorder="1" applyAlignment="1" applyProtection="1">
      <alignment horizontal="center"/>
      <protection hidden="1"/>
    </xf>
    <xf numFmtId="175" fontId="1" fillId="0" borderId="13" xfId="2" applyNumberFormat="1" applyFont="1" applyBorder="1" applyAlignment="1" applyProtection="1">
      <alignment horizontal="center" vertical="center"/>
      <protection hidden="1"/>
    </xf>
    <xf numFmtId="175" fontId="1" fillId="0" borderId="0" xfId="2" applyNumberFormat="1" applyFont="1" applyAlignment="1" applyProtection="1">
      <alignment horizontal="center"/>
      <protection hidden="1"/>
    </xf>
    <xf numFmtId="0" fontId="44" fillId="0" borderId="0" xfId="0" applyFont="1" applyFill="1" applyBorder="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6" fillId="0" borderId="22" xfId="0" applyFont="1" applyBorder="1" applyAlignment="1" applyProtection="1">
      <alignment horizontal="center" vertical="center"/>
      <protection locked="0" hidden="1"/>
    </xf>
    <xf numFmtId="3" fontId="43" fillId="0" borderId="22" xfId="0" applyNumberFormat="1" applyFont="1" applyBorder="1" applyAlignment="1" applyProtection="1">
      <alignment horizontal="center" vertical="center"/>
      <protection locked="0" hidden="1"/>
    </xf>
    <xf numFmtId="0" fontId="46" fillId="0" borderId="0" xfId="0" applyFont="1" applyBorder="1" applyAlignment="1" applyProtection="1">
      <alignment horizontal="center" vertical="center"/>
      <protection locked="0" hidden="1"/>
    </xf>
    <xf numFmtId="0" fontId="43" fillId="0" borderId="21" xfId="0" applyFont="1" applyBorder="1" applyAlignment="1" applyProtection="1">
      <alignment horizontal="center" vertical="center"/>
      <protection locked="0" hidden="1"/>
    </xf>
    <xf numFmtId="0" fontId="13" fillId="3" borderId="0"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protection locked="0" hidden="1"/>
    </xf>
    <xf numFmtId="0" fontId="32" fillId="0" borderId="3" xfId="0" applyFont="1" applyBorder="1" applyAlignment="1" applyProtection="1">
      <alignment horizontal="right" vertical="center" wrapText="1"/>
      <protection hidden="1"/>
    </xf>
    <xf numFmtId="0" fontId="32" fillId="0" borderId="4" xfId="0" applyFont="1" applyBorder="1" applyAlignment="1" applyProtection="1">
      <alignment horizontal="right" vertical="center" wrapText="1"/>
      <protection hidden="1"/>
    </xf>
    <xf numFmtId="0" fontId="43" fillId="0" borderId="22" xfId="0" applyFont="1" applyBorder="1" applyAlignment="1" applyProtection="1">
      <alignment horizontal="center" vertical="center"/>
      <protection locked="0" hidden="1"/>
    </xf>
    <xf numFmtId="0" fontId="18" fillId="3" borderId="3" xfId="0" applyFont="1" applyFill="1" applyBorder="1" applyAlignment="1" applyProtection="1">
      <alignment horizontal="right" vertical="center"/>
      <protection hidden="1"/>
    </xf>
    <xf numFmtId="0" fontId="18" fillId="3" borderId="4" xfId="0" applyFont="1" applyFill="1" applyBorder="1" applyAlignment="1" applyProtection="1">
      <alignment horizontal="right" vertical="center"/>
      <protection hidden="1"/>
    </xf>
    <xf numFmtId="0" fontId="12"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32" fillId="0" borderId="5" xfId="0" applyFont="1" applyFill="1" applyBorder="1" applyAlignment="1" applyProtection="1">
      <alignment horizontal="right" vertical="center" wrapText="1"/>
      <protection hidden="1"/>
    </xf>
    <xf numFmtId="0" fontId="13" fillId="3" borderId="5" xfId="0" applyFont="1" applyFill="1" applyBorder="1" applyAlignment="1" applyProtection="1">
      <alignment horizontal="center" vertical="center"/>
      <protection hidden="1"/>
    </xf>
    <xf numFmtId="0" fontId="24" fillId="0" borderId="6" xfId="0" applyFont="1" applyFill="1" applyBorder="1" applyAlignment="1" applyProtection="1">
      <alignment horizontal="left" vertical="top" wrapText="1"/>
      <protection locked="0"/>
    </xf>
    <xf numFmtId="0" fontId="42" fillId="2" borderId="1"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32" fillId="0" borderId="3" xfId="0" applyFont="1" applyBorder="1" applyAlignment="1" applyProtection="1">
      <alignment horizontal="right" vertical="center"/>
      <protection hidden="1"/>
    </xf>
    <xf numFmtId="0" fontId="32" fillId="0" borderId="4" xfId="0" applyFont="1" applyBorder="1" applyAlignment="1" applyProtection="1">
      <alignment horizontal="right" vertical="center"/>
      <protection hidden="1"/>
    </xf>
    <xf numFmtId="0" fontId="13" fillId="3" borderId="1" xfId="0" applyFont="1" applyFill="1" applyBorder="1" applyAlignment="1" applyProtection="1">
      <alignment horizontal="center" vertical="center"/>
      <protection hidden="1"/>
    </xf>
    <xf numFmtId="0" fontId="32" fillId="0" borderId="7" xfId="0" applyFont="1" applyFill="1" applyBorder="1" applyAlignment="1" applyProtection="1">
      <alignment horizontal="right" vertical="center" wrapText="1"/>
      <protection hidden="1"/>
    </xf>
    <xf numFmtId="0" fontId="32" fillId="0" borderId="8" xfId="0" applyFont="1" applyFill="1" applyBorder="1" applyAlignment="1" applyProtection="1">
      <alignment horizontal="right" vertical="center" wrapText="1"/>
      <protection hidden="1"/>
    </xf>
    <xf numFmtId="0" fontId="32" fillId="0" borderId="3" xfId="0" applyFont="1" applyFill="1" applyBorder="1" applyAlignment="1" applyProtection="1">
      <alignment horizontal="right" vertical="center" wrapText="1"/>
      <protection hidden="1"/>
    </xf>
    <xf numFmtId="0" fontId="32" fillId="0" borderId="4" xfId="0" applyFont="1" applyFill="1" applyBorder="1" applyAlignment="1" applyProtection="1">
      <alignment horizontal="right" vertical="center" wrapText="1"/>
      <protection hidden="1"/>
    </xf>
    <xf numFmtId="0" fontId="32" fillId="0" borderId="9" xfId="0" applyFont="1" applyFill="1" applyBorder="1" applyAlignment="1" applyProtection="1">
      <alignment horizontal="right" vertical="center" wrapText="1"/>
      <protection hidden="1"/>
    </xf>
    <xf numFmtId="0" fontId="2" fillId="5" borderId="11" xfId="1" applyNumberFormat="1" applyFont="1" applyFill="1" applyBorder="1" applyAlignment="1" applyProtection="1">
      <alignment horizontal="left" wrapText="1"/>
      <protection hidden="1"/>
    </xf>
    <xf numFmtId="14" fontId="1" fillId="5" borderId="11" xfId="1" applyNumberFormat="1" applyFont="1" applyFill="1" applyBorder="1" applyAlignment="1" applyProtection="1">
      <alignment horizontal="center" vertical="center"/>
      <protection hidden="1"/>
    </xf>
    <xf numFmtId="169" fontId="1" fillId="5" borderId="11" xfId="1" applyNumberFormat="1" applyFont="1" applyFill="1" applyBorder="1" applyAlignment="1" applyProtection="1">
      <alignment horizontal="center" vertical="center"/>
      <protection hidden="1"/>
    </xf>
    <xf numFmtId="9" fontId="2" fillId="0" borderId="0" xfId="3" applyFont="1" applyFill="1" applyBorder="1" applyAlignment="1" applyProtection="1">
      <alignment horizontal="center"/>
      <protection hidden="1"/>
    </xf>
    <xf numFmtId="0" fontId="2" fillId="5" borderId="0" xfId="1" applyNumberFormat="1" applyFont="1" applyFill="1" applyBorder="1" applyAlignment="1" applyProtection="1">
      <alignment horizontal="left"/>
      <protection hidden="1"/>
    </xf>
    <xf numFmtId="9" fontId="1" fillId="5" borderId="0" xfId="3" applyFont="1" applyFill="1" applyBorder="1" applyAlignment="1" applyProtection="1">
      <alignment horizontal="center"/>
      <protection hidden="1"/>
    </xf>
    <xf numFmtId="175" fontId="1" fillId="5" borderId="17" xfId="1" applyNumberFormat="1" applyFont="1" applyFill="1" applyBorder="1" applyAlignment="1" applyProtection="1">
      <alignment horizontal="center"/>
      <protection hidden="1"/>
    </xf>
    <xf numFmtId="175" fontId="1" fillId="5" borderId="18" xfId="1" applyNumberFormat="1" applyFont="1" applyFill="1" applyBorder="1" applyAlignment="1" applyProtection="1">
      <alignment horizontal="center"/>
      <protection hidden="1"/>
    </xf>
    <xf numFmtId="175" fontId="1" fillId="5" borderId="19" xfId="1" applyNumberFormat="1" applyFont="1" applyFill="1" applyBorder="1" applyAlignment="1" applyProtection="1">
      <alignment horizontal="center"/>
      <protection hidden="1"/>
    </xf>
  </cellXfs>
  <cellStyles count="4">
    <cellStyle name="Millares" xfId="1" builtinId="3"/>
    <cellStyle name="Normal" xfId="0" builtinId="0"/>
    <cellStyle name="Normal 2" xfId="2"/>
    <cellStyle name="Porcentaje" xfId="3" builtinId="5"/>
  </cellStyles>
  <dxfs count="9">
    <dxf>
      <font>
        <b/>
        <i val="0"/>
        <color rgb="FFFF0000"/>
      </font>
    </dxf>
    <dxf>
      <font>
        <color theme="0"/>
      </font>
      <fill>
        <patternFill>
          <bgColor theme="0"/>
        </patternFill>
      </fill>
    </dxf>
    <dxf>
      <font>
        <color rgb="FFC0C0C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133350</xdr:colOff>
      <xdr:row>3</xdr:row>
      <xdr:rowOff>57150</xdr:rowOff>
    </xdr:to>
    <xdr:pic>
      <xdr:nvPicPr>
        <xdr:cNvPr id="17707"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4775" y="66675"/>
          <a:ext cx="1924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p10063\Reporter&#237;a%20RC\Reporter&#237;a%20RC\04.%20Simuladores\02.%20Intranet-Web\43.%20Cambio%20de%20monto%20m&#237;nimo%20LPB\SimLPB09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Factor (2)"/>
      <sheetName val="Hoja2"/>
    </sheetNames>
    <sheetDataSet>
      <sheetData sheetId="0" refreshError="1"/>
      <sheetData sheetId="1" refreshError="1">
        <row r="26">
          <cell r="C26">
            <v>0.24</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N78"/>
  <sheetViews>
    <sheetView showGridLines="0" showRowColHeaders="0" tabSelected="1" zoomScale="80" zoomScaleNormal="80" workbookViewId="0">
      <selection activeCell="C12" sqref="C12"/>
    </sheetView>
  </sheetViews>
  <sheetFormatPr baseColWidth="10" defaultColWidth="0" defaultRowHeight="0" customHeight="1" zeroHeight="1" x14ac:dyDescent="0.2"/>
  <cols>
    <col min="1" max="1" width="28.42578125" style="1" customWidth="1"/>
    <col min="2" max="2" width="40.28515625" style="1" customWidth="1"/>
    <col min="3" max="3" width="49.7109375" style="14" customWidth="1"/>
    <col min="4" max="4" width="60.42578125" style="1" customWidth="1"/>
    <col min="5" max="5" width="28.140625" style="1" customWidth="1"/>
    <col min="6" max="6" width="56.140625" style="1" customWidth="1"/>
    <col min="7" max="7" width="15.5703125" style="1" hidden="1" customWidth="1"/>
    <col min="8" max="8" width="3.85546875" style="1" hidden="1" customWidth="1"/>
    <col min="9" max="9" width="31" style="1" hidden="1" customWidth="1"/>
    <col min="10" max="10" width="15.140625" style="1" hidden="1" customWidth="1"/>
    <col min="11" max="11" width="15.85546875" style="1" hidden="1" customWidth="1"/>
    <col min="12" max="13" width="18.5703125" style="1" hidden="1" customWidth="1"/>
    <col min="14" max="14" width="18.42578125" style="1" hidden="1" customWidth="1"/>
    <col min="15" max="16384" width="11.42578125" style="1" hidden="1"/>
  </cols>
  <sheetData>
    <row r="1" spans="1:14" s="2" customFormat="1" ht="16.5" customHeight="1" x14ac:dyDescent="0.2"/>
    <row r="2" spans="1:14" s="2" customFormat="1" ht="17.25" customHeight="1" x14ac:dyDescent="0.2">
      <c r="A2" s="192" t="s">
        <v>16</v>
      </c>
      <c r="B2" s="192"/>
      <c r="C2" s="192"/>
      <c r="D2" s="192"/>
      <c r="E2" s="192"/>
      <c r="F2" s="192"/>
      <c r="G2" s="192"/>
      <c r="H2" s="192"/>
    </row>
    <row r="3" spans="1:14" s="2" customFormat="1" ht="8.25" customHeight="1" x14ac:dyDescent="0.2">
      <c r="A3" s="42"/>
      <c r="B3" s="42"/>
      <c r="C3" s="42"/>
      <c r="D3" s="42"/>
      <c r="E3" s="42"/>
      <c r="F3" s="42"/>
      <c r="G3" s="42"/>
      <c r="H3" s="42"/>
    </row>
    <row r="4" spans="1:14" s="2" customFormat="1" ht="12.75" customHeight="1" x14ac:dyDescent="0.2">
      <c r="A4" s="193" t="s">
        <v>22</v>
      </c>
      <c r="B4" s="193"/>
      <c r="C4" s="193"/>
      <c r="D4" s="193"/>
      <c r="E4" s="193"/>
      <c r="F4" s="193"/>
      <c r="G4" s="193"/>
      <c r="H4" s="193"/>
    </row>
    <row r="5" spans="1:14" s="2" customFormat="1" ht="16.5" customHeight="1" x14ac:dyDescent="0.2">
      <c r="A5" s="21"/>
      <c r="B5" s="24"/>
      <c r="C5" s="24"/>
      <c r="D5" s="21"/>
      <c r="E5" s="1"/>
      <c r="F5" s="1"/>
      <c r="G5" s="1"/>
      <c r="H5" s="24"/>
    </row>
    <row r="6" spans="1:14" s="2" customFormat="1" ht="27" hidden="1" customHeight="1" thickBot="1" x14ac:dyDescent="0.25">
      <c r="A6" s="48" t="s">
        <v>50</v>
      </c>
      <c r="B6" s="197"/>
      <c r="C6" s="197"/>
      <c r="D6" s="48" t="s">
        <v>51</v>
      </c>
      <c r="E6" s="197"/>
      <c r="F6" s="197"/>
      <c r="G6" s="197"/>
      <c r="H6" s="24"/>
    </row>
    <row r="7" spans="1:14" s="2" customFormat="1" ht="18" hidden="1" customHeight="1" thickBot="1" x14ac:dyDescent="0.35">
      <c r="A7" s="38" t="s">
        <v>52</v>
      </c>
      <c r="B7" s="195"/>
      <c r="C7" s="195"/>
      <c r="D7" s="49" t="s">
        <v>53</v>
      </c>
      <c r="E7" s="202"/>
      <c r="F7" s="202"/>
      <c r="G7" s="202"/>
      <c r="H7" s="32"/>
    </row>
    <row r="8" spans="1:14" s="2" customFormat="1" ht="20.25" hidden="1" customHeight="1" thickBot="1" x14ac:dyDescent="0.35">
      <c r="A8" s="38" t="s">
        <v>54</v>
      </c>
      <c r="B8" s="194"/>
      <c r="C8" s="194"/>
      <c r="D8" s="49" t="s">
        <v>55</v>
      </c>
      <c r="E8" s="202"/>
      <c r="F8" s="202"/>
      <c r="G8" s="202"/>
      <c r="H8" s="33"/>
    </row>
    <row r="9" spans="1:14" s="2" customFormat="1" ht="24" hidden="1" customHeight="1" x14ac:dyDescent="0.3">
      <c r="A9" s="38"/>
      <c r="B9" s="196"/>
      <c r="C9" s="196"/>
      <c r="D9" s="43"/>
      <c r="E9" s="199"/>
      <c r="F9" s="199"/>
      <c r="G9" s="199"/>
      <c r="H9" s="33"/>
    </row>
    <row r="10" spans="1:14" s="2" customFormat="1" ht="24" customHeight="1" thickBot="1" x14ac:dyDescent="0.35">
      <c r="A10" s="17"/>
      <c r="B10" s="23"/>
      <c r="C10" s="23"/>
      <c r="D10" s="22"/>
      <c r="E10" s="30"/>
      <c r="F10" s="30"/>
      <c r="G10" s="30"/>
      <c r="H10" s="4"/>
    </row>
    <row r="11" spans="1:14" s="2" customFormat="1" ht="24" customHeight="1" thickTop="1" thickBot="1" x14ac:dyDescent="0.35">
      <c r="A11" s="17"/>
      <c r="B11" s="39" t="s">
        <v>17</v>
      </c>
      <c r="C11" s="45" t="s">
        <v>19</v>
      </c>
      <c r="D11" s="47"/>
      <c r="E11" s="30"/>
      <c r="F11" s="30"/>
      <c r="G11" s="30"/>
      <c r="H11" s="4"/>
    </row>
    <row r="12" spans="1:14" s="2" customFormat="1" ht="24" customHeight="1" thickTop="1" thickBot="1" x14ac:dyDescent="0.25">
      <c r="A12" s="17"/>
      <c r="B12" s="40" t="s">
        <v>18</v>
      </c>
      <c r="C12" s="136"/>
      <c r="D12" s="25" t="s">
        <v>20</v>
      </c>
      <c r="E12" s="30"/>
      <c r="F12" s="30"/>
      <c r="G12" s="30"/>
      <c r="H12" s="4"/>
      <c r="I12" s="1"/>
      <c r="J12" s="1"/>
      <c r="K12" s="1"/>
      <c r="L12" s="1"/>
      <c r="M12" s="1"/>
      <c r="N12" s="1"/>
    </row>
    <row r="13" spans="1:14" s="2" customFormat="1" ht="10.5" customHeight="1" thickTop="1" x14ac:dyDescent="0.3">
      <c r="A13" s="17"/>
      <c r="B13" s="23"/>
      <c r="C13" s="23"/>
      <c r="D13" s="22"/>
      <c r="E13" s="30"/>
      <c r="F13" s="30"/>
      <c r="G13" s="30"/>
      <c r="H13" s="4"/>
      <c r="I13" s="1"/>
      <c r="J13" s="1"/>
      <c r="K13" s="1"/>
      <c r="L13" s="1"/>
      <c r="M13" s="1"/>
      <c r="N13" s="1"/>
    </row>
    <row r="14" spans="1:14" s="2" customFormat="1" ht="24" customHeight="1" thickBot="1" x14ac:dyDescent="0.25">
      <c r="B14" s="198" t="s">
        <v>6</v>
      </c>
      <c r="C14" s="198"/>
      <c r="D14" s="198"/>
      <c r="E14" s="27"/>
      <c r="F14" s="27"/>
      <c r="G14" s="27"/>
      <c r="I14" s="1"/>
      <c r="J14" s="1"/>
      <c r="K14" s="1"/>
      <c r="L14" s="1"/>
      <c r="M14" s="1"/>
      <c r="N14" s="1"/>
    </row>
    <row r="15" spans="1:14" s="2" customFormat="1" ht="39" customHeight="1" thickTop="1" thickBot="1" x14ac:dyDescent="0.25">
      <c r="B15" s="200" t="str">
        <f>+IF(C12="","",'Factor (2)'!I27)</f>
        <v/>
      </c>
      <c r="C15" s="201"/>
      <c r="D15" s="183"/>
      <c r="E15" s="25" t="s">
        <v>11</v>
      </c>
      <c r="F15" s="25"/>
      <c r="G15" s="27"/>
      <c r="I15" s="1"/>
      <c r="J15" s="1"/>
      <c r="K15" s="1"/>
      <c r="L15" s="1"/>
      <c r="M15" s="1"/>
      <c r="N15" s="1"/>
    </row>
    <row r="16" spans="1:14" s="5" customFormat="1" ht="59.25" customHeight="1" thickTop="1" thickBot="1" x14ac:dyDescent="0.25">
      <c r="A16" s="15"/>
      <c r="B16" s="18"/>
      <c r="C16" s="40" t="s">
        <v>99</v>
      </c>
      <c r="D16" s="174" t="str">
        <f>IF(C12="","",'[1]Factor (2)'!C26)</f>
        <v/>
      </c>
      <c r="E16" s="165"/>
      <c r="F16" s="165"/>
      <c r="G16" s="4"/>
      <c r="I16" s="16"/>
      <c r="J16" s="16"/>
      <c r="K16" s="16"/>
      <c r="L16" s="16"/>
      <c r="M16" s="16"/>
      <c r="N16" s="16"/>
    </row>
    <row r="17" spans="1:14" s="5" customFormat="1" ht="23.25" hidden="1" customHeight="1" thickTop="1" thickBot="1" x14ac:dyDescent="0.25">
      <c r="A17" s="15"/>
      <c r="B17" s="18"/>
      <c r="C17" s="40" t="str">
        <f>+IF(C12="Créditos para Participantes del IESA","Tasa de Interes a Aplicar al Monto de la Liquidación:","Tasa promocional de Interés:")</f>
        <v>Tasa promocional de Interés:</v>
      </c>
      <c r="D17" s="135"/>
      <c r="E17" s="46" t="str">
        <f>+IF(C12="Créditos para Participantes del IESA","*Campo Requerido","*Campo Opcional")</f>
        <v>*Campo Opcional</v>
      </c>
      <c r="F17" s="46"/>
      <c r="G17" s="4"/>
      <c r="I17" s="1"/>
      <c r="J17" s="130"/>
      <c r="K17" s="130"/>
      <c r="L17" s="130"/>
      <c r="M17" s="130"/>
      <c r="N17" s="130"/>
    </row>
    <row r="18" spans="1:14" s="2" customFormat="1" ht="23.25" customHeight="1" thickTop="1" thickBot="1" x14ac:dyDescent="0.25">
      <c r="A18" s="16"/>
      <c r="B18" s="18"/>
      <c r="C18" s="40" t="s">
        <v>31</v>
      </c>
      <c r="D18" s="168"/>
      <c r="E18" s="25" t="s">
        <v>109</v>
      </c>
      <c r="F18" s="25"/>
      <c r="I18" s="130"/>
      <c r="J18" s="131"/>
      <c r="K18" s="132"/>
      <c r="L18" s="44"/>
      <c r="M18" s="133"/>
      <c r="N18" s="131"/>
    </row>
    <row r="19" spans="1:14" s="2" customFormat="1" ht="20.25" hidden="1" thickTop="1" thickBot="1" x14ac:dyDescent="0.25">
      <c r="A19" s="6"/>
      <c r="B19" s="18"/>
      <c r="C19" s="40" t="s">
        <v>32</v>
      </c>
      <c r="D19" s="37"/>
      <c r="E19" s="46" t="s">
        <v>59</v>
      </c>
      <c r="F19" s="46"/>
      <c r="I19" s="130"/>
      <c r="J19" s="131"/>
      <c r="K19" s="132"/>
      <c r="L19" s="44"/>
      <c r="M19" s="133"/>
      <c r="N19" s="131"/>
    </row>
    <row r="20" spans="1:14" ht="24" customHeight="1" thickTop="1" thickBot="1" x14ac:dyDescent="0.25">
      <c r="A20" s="7"/>
      <c r="B20" s="208" t="s">
        <v>8</v>
      </c>
      <c r="C20" s="208"/>
      <c r="D20" s="208"/>
      <c r="E20" s="7"/>
      <c r="F20" s="7"/>
      <c r="G20" s="7"/>
      <c r="I20" s="130"/>
      <c r="J20" s="131"/>
      <c r="K20" s="132"/>
      <c r="L20" s="44"/>
      <c r="M20" s="133"/>
      <c r="N20" s="131"/>
    </row>
    <row r="21" spans="1:14" ht="24" customHeight="1" thickTop="1" thickBot="1" x14ac:dyDescent="0.25">
      <c r="A21" s="7"/>
      <c r="B21" s="212" t="s">
        <v>79</v>
      </c>
      <c r="C21" s="213"/>
      <c r="D21" s="37"/>
      <c r="E21" s="46" t="s">
        <v>11</v>
      </c>
      <c r="F21" s="46"/>
      <c r="G21" s="7"/>
      <c r="I21" s="130"/>
      <c r="J21" s="131"/>
      <c r="K21" s="132"/>
      <c r="L21" s="44"/>
      <c r="M21" s="133"/>
      <c r="N21" s="131"/>
    </row>
    <row r="22" spans="1:14" s="2" customFormat="1" ht="24" customHeight="1" thickTop="1" thickBot="1" x14ac:dyDescent="0.25">
      <c r="B22" s="207" t="str">
        <f>+IF(C12="","",'Factor (2)'!J27)</f>
        <v/>
      </c>
      <c r="C22" s="207"/>
      <c r="D22" s="184"/>
      <c r="E22" s="46" t="s">
        <v>11</v>
      </c>
      <c r="F22" s="46"/>
      <c r="G22" s="36"/>
      <c r="I22" s="130"/>
      <c r="J22" s="131"/>
      <c r="K22" s="132"/>
      <c r="L22" s="44"/>
      <c r="M22" s="133"/>
      <c r="N22" s="131"/>
    </row>
    <row r="23" spans="1:14" s="2" customFormat="1" ht="25.5" customHeight="1" thickTop="1" thickBot="1" x14ac:dyDescent="0.25">
      <c r="B23" s="219" t="s">
        <v>35</v>
      </c>
      <c r="C23" s="218"/>
      <c r="D23" s="185"/>
      <c r="E23" s="46" t="s">
        <v>11</v>
      </c>
      <c r="F23" s="46"/>
      <c r="G23" s="36"/>
      <c r="H23" s="25"/>
      <c r="I23" s="130"/>
      <c r="J23" s="131"/>
      <c r="K23" s="132"/>
      <c r="L23" s="44"/>
      <c r="M23" s="133"/>
      <c r="N23" s="131"/>
    </row>
    <row r="24" spans="1:14" s="2" customFormat="1" ht="36.75" customHeight="1" thickTop="1" thickBot="1" x14ac:dyDescent="0.25">
      <c r="A24" s="1"/>
      <c r="B24" s="207" t="s">
        <v>29</v>
      </c>
      <c r="C24" s="207"/>
      <c r="D24" s="185"/>
      <c r="E24" s="46" t="s">
        <v>11</v>
      </c>
      <c r="F24" s="46"/>
      <c r="G24" s="36"/>
      <c r="H24" s="25"/>
      <c r="I24" s="130"/>
      <c r="J24" s="130"/>
      <c r="K24" s="130"/>
      <c r="L24" s="16"/>
      <c r="M24" s="16"/>
      <c r="N24" s="16"/>
    </row>
    <row r="25" spans="1:14" ht="20.25" customHeight="1" thickTop="1" thickBot="1" x14ac:dyDescent="0.25">
      <c r="A25" s="8"/>
      <c r="B25" s="215" t="s">
        <v>7</v>
      </c>
      <c r="C25" s="216"/>
      <c r="D25" s="35"/>
      <c r="E25" s="46" t="s">
        <v>11</v>
      </c>
      <c r="F25" s="46"/>
      <c r="G25" s="36"/>
      <c r="I25" s="130"/>
      <c r="J25" s="44"/>
      <c r="K25" s="44"/>
    </row>
    <row r="26" spans="1:14" ht="20.25" customHeight="1" thickTop="1" thickBot="1" x14ac:dyDescent="0.25">
      <c r="A26" s="8"/>
      <c r="B26" s="217" t="s">
        <v>13</v>
      </c>
      <c r="C26" s="218"/>
      <c r="D26" s="34"/>
      <c r="E26" s="46" t="s">
        <v>11</v>
      </c>
      <c r="F26" s="46"/>
      <c r="G26" s="36"/>
      <c r="I26" s="130"/>
      <c r="J26" s="44"/>
      <c r="K26" s="44"/>
    </row>
    <row r="27" spans="1:14" s="3" customFormat="1" ht="21.75" thickTop="1" thickBot="1" x14ac:dyDescent="0.25">
      <c r="A27" s="9"/>
      <c r="B27" s="203" t="s">
        <v>0</v>
      </c>
      <c r="C27" s="204"/>
      <c r="D27" s="186" t="str">
        <f>+IF(OR(D15="",D21="",D22="",D23="",D24="",D25="",D26=""),"",'Factor (2)'!C66)</f>
        <v/>
      </c>
      <c r="H27" s="31"/>
      <c r="I27" s="130"/>
      <c r="J27" s="1"/>
      <c r="K27" s="44"/>
      <c r="L27" s="44"/>
      <c r="M27" s="1"/>
      <c r="N27" s="1"/>
    </row>
    <row r="28" spans="1:14" s="3" customFormat="1" ht="21.75" thickTop="1" thickBot="1" x14ac:dyDescent="0.25">
      <c r="A28" s="9"/>
      <c r="B28" s="203" t="s">
        <v>1</v>
      </c>
      <c r="C28" s="204"/>
      <c r="D28" s="186" t="str">
        <f>+IF(OR(D15="",D21="",D22="",D23="",D24="",D25="",D26=""),"",'Factor (2)'!C67)</f>
        <v/>
      </c>
      <c r="H28" s="31"/>
      <c r="I28" s="130"/>
      <c r="J28" s="1"/>
      <c r="K28" s="44"/>
      <c r="L28" s="44"/>
      <c r="M28" s="1"/>
      <c r="N28" s="1"/>
    </row>
    <row r="29" spans="1:14" s="3" customFormat="1" ht="19.5" thickTop="1" thickBot="1" x14ac:dyDescent="0.25">
      <c r="A29" s="2"/>
      <c r="B29" s="214" t="s">
        <v>12</v>
      </c>
      <c r="C29" s="214"/>
      <c r="D29" s="214"/>
      <c r="E29" s="25"/>
      <c r="F29" s="25"/>
      <c r="G29" s="25"/>
      <c r="H29" s="25"/>
      <c r="I29" s="130"/>
      <c r="J29" s="44"/>
      <c r="K29" s="44"/>
      <c r="L29" s="134"/>
      <c r="M29" s="134"/>
      <c r="N29" s="134"/>
    </row>
    <row r="30" spans="1:14" s="2" customFormat="1" ht="39.75" customHeight="1" thickTop="1" thickBot="1" x14ac:dyDescent="0.25">
      <c r="A30" s="10"/>
      <c r="B30" s="210" t="str">
        <f>+IF(OR(D15="",D21="",D22="",D23="",D24="",D25="",D26=""),"",'Factor (2)'!D70)</f>
        <v/>
      </c>
      <c r="C30" s="210"/>
      <c r="D30" s="187" t="str">
        <f>+IF(OR(B30="Capacidad de pago insuficiente",B30='Factor (2)'!E9,B30="No califica para el monto solicitado",B30="",'Factor (2)'!D69&lt;0),"",'Factor (2)'!D69)</f>
        <v/>
      </c>
      <c r="E30" s="178"/>
      <c r="F30" s="177"/>
      <c r="G30" s="177" t="str">
        <f>+IF(D30&lt;1500000,"El monto mínimo a solicitar es Bs. 1.500.000,00","")</f>
        <v/>
      </c>
      <c r="H30" s="25"/>
      <c r="I30" s="130"/>
      <c r="J30" s="44"/>
      <c r="K30" s="44"/>
      <c r="L30" s="1"/>
      <c r="M30" s="1"/>
      <c r="N30" s="1"/>
    </row>
    <row r="31" spans="1:14" s="2" customFormat="1" ht="19.5" thickTop="1" thickBot="1" x14ac:dyDescent="0.25">
      <c r="A31" s="10"/>
      <c r="B31" s="214" t="s">
        <v>10</v>
      </c>
      <c r="C31" s="214"/>
      <c r="D31" s="214"/>
      <c r="E31" s="25"/>
      <c r="F31" s="25"/>
      <c r="G31" s="25"/>
      <c r="H31" s="25"/>
      <c r="I31" s="130"/>
      <c r="J31" s="130"/>
      <c r="K31" s="1"/>
      <c r="L31" s="1"/>
      <c r="M31" s="1"/>
      <c r="N31" s="1"/>
    </row>
    <row r="32" spans="1:14" s="2" customFormat="1" ht="21.75" thickTop="1" thickBot="1" x14ac:dyDescent="0.25">
      <c r="A32" s="10"/>
      <c r="B32" s="210" t="str">
        <f>+IF(OR(B30="Capacidad de pago insuficiente",B30="No califica para el monto solicitado",B30='Factor (2)'!E9,B30=""),"",IF(C12="Créditos para Participantes del IESA","Cuota estimada mensual a tasa de interes actual","Cuota mensual a tasa de interes actual"))</f>
        <v/>
      </c>
      <c r="C32" s="210"/>
      <c r="D32" s="187" t="str">
        <f>+IF(OR(B30="Capacidad de pago insuficiente",B30="No califica para el monto solicitado",B30='Factor (2)'!E9,B30=""),"",'Factor (2)'!C69)</f>
        <v/>
      </c>
      <c r="E32" s="46"/>
      <c r="F32" s="46"/>
      <c r="G32" s="25"/>
      <c r="H32" s="25"/>
      <c r="I32" s="130"/>
      <c r="J32" s="130"/>
      <c r="K32" s="1"/>
      <c r="L32" s="1"/>
      <c r="M32" s="1"/>
      <c r="N32" s="1"/>
    </row>
    <row r="33" spans="1:10" s="2" customFormat="1" ht="21.75" thickTop="1" thickBot="1" x14ac:dyDescent="0.25">
      <c r="A33" s="10"/>
      <c r="B33" s="20"/>
      <c r="C33" s="20"/>
      <c r="D33" s="19"/>
      <c r="E33" s="25"/>
      <c r="F33" s="25"/>
      <c r="G33" s="25"/>
      <c r="H33" s="25"/>
      <c r="I33" s="25"/>
      <c r="J33" s="25"/>
    </row>
    <row r="34" spans="1:10" s="2" customFormat="1" ht="21.75" hidden="1" thickTop="1" thickBot="1" x14ac:dyDescent="0.25">
      <c r="A34" s="10"/>
      <c r="B34" s="211" t="str">
        <f>+IF(OR(D30="",D17=0,D17="",D17=D16),"",IF(C12="Créditos para Participantes del IESA","",IF(OR(B30="Capacidad de pago insuficiente",B30='Factor (2)'!E9,B30=""),"","Cuota mensual a tasa de interes promocional")))</f>
        <v/>
      </c>
      <c r="C34" s="211"/>
      <c r="D34" s="26" t="str">
        <f>IF(OR(D30="",D17=0,D17="",D17=D16),"",#REF!)</f>
        <v/>
      </c>
      <c r="E34" s="25"/>
      <c r="F34" s="25"/>
      <c r="G34" s="25"/>
      <c r="H34" s="25"/>
      <c r="J34" s="25"/>
    </row>
    <row r="35" spans="1:10" s="2" customFormat="1" ht="24" customHeight="1" thickTop="1" thickBot="1" x14ac:dyDescent="0.25">
      <c r="A35" s="13"/>
      <c r="B35" s="11"/>
      <c r="C35" s="12"/>
      <c r="D35" s="41">
        <f ca="1">TODAY()</f>
        <v>43329</v>
      </c>
      <c r="E35" s="25"/>
      <c r="F35" s="25"/>
      <c r="G35" s="25"/>
      <c r="H35" s="25"/>
      <c r="I35" s="25"/>
      <c r="J35" s="25"/>
    </row>
    <row r="36" spans="1:10" s="2" customFormat="1" ht="37.5" customHeight="1" thickTop="1" thickBot="1" x14ac:dyDescent="0.25">
      <c r="A36" s="13"/>
      <c r="B36" s="205" t="s">
        <v>30</v>
      </c>
      <c r="C36" s="206"/>
      <c r="D36" s="206"/>
      <c r="E36" s="25"/>
      <c r="F36" s="25"/>
      <c r="G36" s="25"/>
      <c r="H36" s="25"/>
      <c r="I36" s="25"/>
      <c r="J36" s="25"/>
    </row>
    <row r="37" spans="1:10" s="2" customFormat="1" ht="18.75" thickTop="1" x14ac:dyDescent="0.2">
      <c r="A37" s="13"/>
      <c r="B37" s="28"/>
      <c r="C37" s="29"/>
      <c r="D37" s="29"/>
      <c r="E37" s="13"/>
      <c r="F37" s="13"/>
      <c r="G37" s="13"/>
    </row>
    <row r="38" spans="1:10" s="2" customFormat="1" ht="18" hidden="1" x14ac:dyDescent="0.2">
      <c r="B38" s="50" t="s">
        <v>56</v>
      </c>
      <c r="C38" s="29"/>
      <c r="D38" s="29"/>
      <c r="E38" s="13"/>
      <c r="F38" s="13"/>
      <c r="G38" s="13"/>
    </row>
    <row r="39" spans="1:10" s="2" customFormat="1" ht="18" hidden="1" x14ac:dyDescent="0.2">
      <c r="B39" s="209"/>
      <c r="C39" s="209"/>
      <c r="D39" s="209"/>
      <c r="E39" s="13"/>
      <c r="F39" s="13"/>
      <c r="G39" s="13"/>
    </row>
    <row r="40" spans="1:10" s="2" customFormat="1" ht="18" hidden="1" x14ac:dyDescent="0.2">
      <c r="B40" s="209"/>
      <c r="C40" s="209"/>
      <c r="D40" s="209"/>
      <c r="E40" s="13"/>
      <c r="F40" s="13"/>
      <c r="G40" s="13"/>
    </row>
    <row r="41" spans="1:10" s="2" customFormat="1" ht="18" hidden="1" x14ac:dyDescent="0.2">
      <c r="B41" s="209"/>
      <c r="C41" s="209"/>
      <c r="D41" s="209"/>
      <c r="E41" s="13"/>
      <c r="F41" s="13"/>
      <c r="G41" s="13"/>
    </row>
    <row r="42" spans="1:10" s="2" customFormat="1" ht="18" hidden="1" x14ac:dyDescent="0.2">
      <c r="B42" s="209"/>
      <c r="C42" s="209"/>
      <c r="D42" s="209"/>
      <c r="E42" s="13"/>
      <c r="F42" s="13"/>
      <c r="G42" s="13"/>
    </row>
    <row r="43" spans="1:10" s="2" customFormat="1" ht="18" hidden="1" x14ac:dyDescent="0.2">
      <c r="B43" s="209"/>
      <c r="C43" s="209"/>
      <c r="D43" s="209"/>
      <c r="E43" s="13"/>
      <c r="F43" s="13"/>
      <c r="G43" s="13"/>
    </row>
    <row r="44" spans="1:10" s="2" customFormat="1" ht="18" hidden="1" x14ac:dyDescent="0.2">
      <c r="B44" s="209"/>
      <c r="C44" s="209"/>
      <c r="D44" s="209"/>
      <c r="E44" s="13"/>
      <c r="F44" s="13"/>
      <c r="G44" s="13"/>
    </row>
    <row r="45" spans="1:10" s="2" customFormat="1" ht="18" hidden="1" x14ac:dyDescent="0.2">
      <c r="B45" s="209"/>
      <c r="C45" s="209"/>
      <c r="D45" s="209"/>
      <c r="E45" s="13"/>
      <c r="F45" s="13"/>
      <c r="G45" s="13"/>
    </row>
    <row r="46" spans="1:10" s="2" customFormat="1" ht="18" hidden="1" x14ac:dyDescent="0.2">
      <c r="B46" s="209"/>
      <c r="C46" s="209"/>
      <c r="D46" s="209"/>
      <c r="E46" s="13"/>
      <c r="F46" s="13"/>
      <c r="G46" s="13"/>
    </row>
    <row r="47" spans="1:10" s="2" customFormat="1" ht="18" hidden="1" x14ac:dyDescent="0.2">
      <c r="B47" s="209"/>
      <c r="C47" s="209"/>
      <c r="D47" s="209"/>
      <c r="E47" s="13"/>
      <c r="F47" s="13"/>
      <c r="G47" s="13"/>
    </row>
    <row r="48" spans="1:10" s="2" customFormat="1" ht="18" hidden="1" x14ac:dyDescent="0.2">
      <c r="B48" s="209"/>
      <c r="C48" s="209"/>
      <c r="D48" s="209"/>
      <c r="E48" s="13"/>
      <c r="F48" s="13"/>
      <c r="G48" s="13"/>
    </row>
    <row r="49" spans="2:7" s="2" customFormat="1" ht="18" hidden="1" x14ac:dyDescent="0.2">
      <c r="B49" s="209"/>
      <c r="C49" s="209"/>
      <c r="D49" s="209"/>
      <c r="E49" s="13"/>
      <c r="F49" s="13"/>
      <c r="G49" s="13"/>
    </row>
    <row r="50" spans="2:7" s="2" customFormat="1" ht="18" hidden="1" x14ac:dyDescent="0.2">
      <c r="B50" s="209"/>
      <c r="C50" s="209"/>
      <c r="D50" s="209"/>
      <c r="E50" s="13"/>
      <c r="F50" s="13"/>
      <c r="G50" s="13"/>
    </row>
    <row r="51" spans="2:7" s="2" customFormat="1" ht="18" hidden="1" x14ac:dyDescent="0.2">
      <c r="B51" s="209"/>
      <c r="C51" s="209"/>
      <c r="D51" s="209"/>
      <c r="E51" s="13"/>
      <c r="F51" s="13"/>
      <c r="G51" s="13"/>
    </row>
    <row r="52" spans="2:7" s="2" customFormat="1" ht="18" hidden="1" x14ac:dyDescent="0.2">
      <c r="B52" s="209"/>
      <c r="C52" s="209"/>
      <c r="D52" s="209"/>
      <c r="E52" s="13"/>
      <c r="F52" s="13"/>
      <c r="G52" s="13"/>
    </row>
    <row r="53" spans="2:7" s="2" customFormat="1" ht="18" hidden="1" x14ac:dyDescent="0.2">
      <c r="B53" s="209"/>
      <c r="C53" s="209"/>
      <c r="D53" s="209"/>
      <c r="E53" s="13"/>
      <c r="F53" s="13"/>
      <c r="G53" s="13"/>
    </row>
    <row r="54" spans="2:7" s="2" customFormat="1" ht="18" hidden="1" x14ac:dyDescent="0.2">
      <c r="B54" s="209"/>
      <c r="C54" s="209"/>
      <c r="D54" s="209"/>
      <c r="E54" s="13"/>
      <c r="F54" s="13"/>
      <c r="G54" s="13"/>
    </row>
    <row r="55" spans="2:7" s="2" customFormat="1" ht="18" hidden="1" x14ac:dyDescent="0.2">
      <c r="B55" s="209"/>
      <c r="C55" s="209"/>
      <c r="D55" s="209"/>
      <c r="E55" s="13"/>
      <c r="F55" s="13"/>
      <c r="G55" s="13"/>
    </row>
    <row r="56" spans="2:7" s="2" customFormat="1" ht="18" hidden="1" x14ac:dyDescent="0.2">
      <c r="B56" s="209"/>
      <c r="C56" s="209"/>
      <c r="D56" s="209"/>
      <c r="E56" s="13"/>
      <c r="F56" s="13"/>
      <c r="G56" s="13"/>
    </row>
    <row r="57" spans="2:7" s="2" customFormat="1" ht="18" hidden="1" x14ac:dyDescent="0.2">
      <c r="B57" s="209"/>
      <c r="C57" s="209"/>
      <c r="D57" s="209"/>
      <c r="E57" s="13"/>
      <c r="F57" s="13"/>
      <c r="G57" s="13"/>
    </row>
    <row r="58" spans="2:7" s="2" customFormat="1" ht="18" hidden="1" x14ac:dyDescent="0.2">
      <c r="B58" s="209"/>
      <c r="C58" s="209"/>
      <c r="D58" s="209"/>
      <c r="E58" s="13"/>
      <c r="F58" s="13"/>
      <c r="G58" s="13"/>
    </row>
    <row r="59" spans="2:7" s="2" customFormat="1" ht="18" hidden="1" x14ac:dyDescent="0.2">
      <c r="B59" s="209"/>
      <c r="C59" s="209"/>
      <c r="D59" s="209"/>
      <c r="E59" s="13"/>
      <c r="F59" s="13"/>
      <c r="G59" s="13"/>
    </row>
    <row r="60" spans="2:7" s="2" customFormat="1" ht="18" hidden="1" x14ac:dyDescent="0.2">
      <c r="B60" s="209"/>
      <c r="C60" s="209"/>
      <c r="D60" s="209"/>
      <c r="E60" s="13"/>
      <c r="F60" s="13"/>
      <c r="G60" s="13"/>
    </row>
    <row r="61" spans="2:7" s="2" customFormat="1" ht="18" hidden="1" x14ac:dyDescent="0.2">
      <c r="B61" s="209"/>
      <c r="C61" s="209"/>
      <c r="D61" s="209"/>
      <c r="E61" s="13"/>
      <c r="F61" s="13"/>
      <c r="G61" s="13"/>
    </row>
    <row r="62" spans="2:7" s="2" customFormat="1" ht="18" hidden="1" x14ac:dyDescent="0.2">
      <c r="B62" s="209"/>
      <c r="C62" s="209"/>
      <c r="D62" s="209"/>
      <c r="E62" s="13"/>
      <c r="F62" s="13"/>
      <c r="G62" s="13"/>
    </row>
    <row r="63" spans="2:7" s="2" customFormat="1" ht="18" hidden="1" x14ac:dyDescent="0.2">
      <c r="B63" s="209"/>
      <c r="C63" s="209"/>
      <c r="D63" s="209"/>
      <c r="E63" s="13"/>
      <c r="F63" s="13"/>
      <c r="G63" s="13"/>
    </row>
    <row r="64" spans="2:7" s="2" customFormat="1" ht="18" hidden="1" x14ac:dyDescent="0.2">
      <c r="B64" s="209"/>
      <c r="C64" s="209"/>
      <c r="D64" s="209"/>
      <c r="E64" s="13"/>
      <c r="F64" s="13"/>
      <c r="G64" s="13"/>
    </row>
    <row r="65" spans="1:7" s="2" customFormat="1" ht="18" hidden="1" x14ac:dyDescent="0.2">
      <c r="B65" s="209"/>
      <c r="C65" s="209"/>
      <c r="D65" s="209"/>
      <c r="E65" s="13"/>
      <c r="F65" s="13"/>
      <c r="G65" s="13"/>
    </row>
    <row r="66" spans="1:7" s="2" customFormat="1" ht="18" hidden="1" x14ac:dyDescent="0.2">
      <c r="B66" s="209"/>
      <c r="C66" s="209"/>
      <c r="D66" s="209"/>
      <c r="E66" s="13"/>
      <c r="F66" s="13"/>
      <c r="G66" s="13"/>
    </row>
    <row r="67" spans="1:7" s="2" customFormat="1" ht="18" hidden="1" x14ac:dyDescent="0.2">
      <c r="B67" s="209"/>
      <c r="C67" s="209"/>
      <c r="D67" s="209"/>
      <c r="E67" s="13"/>
      <c r="F67" s="13"/>
      <c r="G67" s="13"/>
    </row>
    <row r="68" spans="1:7" s="2" customFormat="1" ht="18" hidden="1" x14ac:dyDescent="0.2">
      <c r="B68" s="209"/>
      <c r="C68" s="209"/>
      <c r="D68" s="209"/>
      <c r="E68" s="13"/>
      <c r="F68" s="13"/>
      <c r="G68" s="13"/>
    </row>
    <row r="69" spans="1:7" s="2" customFormat="1" ht="18" hidden="1" x14ac:dyDescent="0.2">
      <c r="B69" s="209"/>
      <c r="C69" s="209"/>
      <c r="D69" s="209"/>
      <c r="E69" s="13"/>
      <c r="F69" s="13"/>
      <c r="G69" s="13"/>
    </row>
    <row r="70" spans="1:7" s="2" customFormat="1" ht="18" hidden="1" x14ac:dyDescent="0.2">
      <c r="B70" s="209"/>
      <c r="C70" s="209"/>
      <c r="D70" s="209"/>
      <c r="E70" s="13"/>
      <c r="F70" s="13"/>
      <c r="G70" s="13"/>
    </row>
    <row r="71" spans="1:7" s="2" customFormat="1" ht="18" hidden="1" x14ac:dyDescent="0.2">
      <c r="B71" s="209"/>
      <c r="C71" s="209"/>
      <c r="D71" s="209"/>
      <c r="E71" s="13"/>
      <c r="F71" s="13"/>
      <c r="G71" s="13"/>
    </row>
    <row r="72" spans="1:7" s="2" customFormat="1" ht="18" hidden="1" x14ac:dyDescent="0.2">
      <c r="B72" s="209"/>
      <c r="C72" s="209"/>
      <c r="D72" s="209"/>
      <c r="E72" s="13"/>
      <c r="F72" s="13"/>
      <c r="G72" s="13"/>
    </row>
    <row r="73" spans="1:7" s="2" customFormat="1" ht="18" hidden="1" x14ac:dyDescent="0.2">
      <c r="B73" s="209"/>
      <c r="C73" s="209"/>
      <c r="D73" s="209"/>
      <c r="E73" s="13"/>
      <c r="F73" s="13"/>
      <c r="G73" s="13"/>
    </row>
    <row r="74" spans="1:7" s="2" customFormat="1" ht="18" hidden="1" x14ac:dyDescent="0.2">
      <c r="B74" s="209"/>
      <c r="C74" s="209"/>
      <c r="D74" s="209"/>
      <c r="E74" s="13"/>
      <c r="F74" s="13"/>
      <c r="G74" s="13"/>
    </row>
    <row r="75" spans="1:7" s="2" customFormat="1" ht="18" hidden="1" x14ac:dyDescent="0.2">
      <c r="B75" s="209"/>
      <c r="C75" s="209"/>
      <c r="D75" s="209"/>
      <c r="E75" s="13"/>
      <c r="F75" s="13"/>
      <c r="G75" s="13"/>
    </row>
    <row r="76" spans="1:7" s="2" customFormat="1" ht="18" hidden="1" x14ac:dyDescent="0.2">
      <c r="B76" s="209"/>
      <c r="C76" s="209"/>
      <c r="D76" s="209"/>
      <c r="E76" s="13"/>
      <c r="F76" s="13"/>
      <c r="G76" s="13"/>
    </row>
    <row r="77" spans="1:7" s="2" customFormat="1" ht="18" hidden="1" x14ac:dyDescent="0.2">
      <c r="B77" s="209"/>
      <c r="C77" s="209"/>
      <c r="D77" s="209"/>
      <c r="E77" s="13"/>
      <c r="F77" s="13"/>
      <c r="G77" s="13"/>
    </row>
    <row r="78" spans="1:7" s="2" customFormat="1" ht="23.25" customHeight="1" x14ac:dyDescent="0.2">
      <c r="A78" s="13"/>
      <c r="B78" s="28"/>
      <c r="C78" s="29"/>
      <c r="D78" s="175"/>
      <c r="E78" s="13"/>
      <c r="F78" s="13"/>
      <c r="G78" s="13"/>
    </row>
  </sheetData>
  <sheetProtection password="CB1F" sheet="1" objects="1" scenarios="1" selectLockedCells="1"/>
  <dataConsolidate/>
  <mergeCells count="28">
    <mergeCell ref="B27:C27"/>
    <mergeCell ref="B36:D36"/>
    <mergeCell ref="B22:C22"/>
    <mergeCell ref="B20:D20"/>
    <mergeCell ref="B39:D77"/>
    <mergeCell ref="B32:C32"/>
    <mergeCell ref="B34:C34"/>
    <mergeCell ref="B21:C21"/>
    <mergeCell ref="B28:C28"/>
    <mergeCell ref="B29:D29"/>
    <mergeCell ref="B31:D31"/>
    <mergeCell ref="B30:C30"/>
    <mergeCell ref="B24:C24"/>
    <mergeCell ref="B25:C25"/>
    <mergeCell ref="B26:C26"/>
    <mergeCell ref="B23:C23"/>
    <mergeCell ref="B14:D14"/>
    <mergeCell ref="E9:G9"/>
    <mergeCell ref="B15:C15"/>
    <mergeCell ref="E7:G7"/>
    <mergeCell ref="E8:G8"/>
    <mergeCell ref="A2:H2"/>
    <mergeCell ref="A4:H4"/>
    <mergeCell ref="B8:C8"/>
    <mergeCell ref="B7:C7"/>
    <mergeCell ref="B9:C9"/>
    <mergeCell ref="B6:C6"/>
    <mergeCell ref="E6:G6"/>
  </mergeCells>
  <phoneticPr fontId="3" type="noConversion"/>
  <conditionalFormatting sqref="D30 B32:D34">
    <cfRule type="expression" dxfId="8" priority="25" stopIfTrue="1">
      <formula>$B$30="Califica para el monto solicitado"</formula>
    </cfRule>
    <cfRule type="expression" dxfId="7" priority="26" stopIfTrue="1">
      <formula>$B$30="Máximo monto"</formula>
    </cfRule>
  </conditionalFormatting>
  <conditionalFormatting sqref="A27:A28">
    <cfRule type="cellIs" dxfId="6" priority="24" stopIfTrue="1" operator="equal">
      <formula>"""Nivel de ingreso SATISFACTORIO para Crédito solicitado"""</formula>
    </cfRule>
  </conditionalFormatting>
  <conditionalFormatting sqref="B30:C30">
    <cfRule type="expression" dxfId="5" priority="31" stopIfTrue="1">
      <formula>OR($B$30="Inicial menor a la requerida",$B$30="Capacidad de Pago Insuficiente",$D$30="Monto mínimo a otorgar es Bs. 1.500.000,00",$D$30="No califica para el monto solicitado")</formula>
    </cfRule>
    <cfRule type="cellIs" dxfId="4" priority="32" stopIfTrue="1" operator="equal">
      <formula>"Califica para el monto solicitado"</formula>
    </cfRule>
    <cfRule type="cellIs" dxfId="3" priority="33" stopIfTrue="1" operator="equal">
      <formula>"Máximo monto"</formula>
    </cfRule>
  </conditionalFormatting>
  <conditionalFormatting sqref="D34">
    <cfRule type="expression" dxfId="2" priority="5" stopIfTrue="1">
      <formula>$B$34=""</formula>
    </cfRule>
  </conditionalFormatting>
  <conditionalFormatting sqref="D16">
    <cfRule type="expression" dxfId="1" priority="3" stopIfTrue="1">
      <formula>$C$16=""</formula>
    </cfRule>
  </conditionalFormatting>
  <conditionalFormatting sqref="D30 B32 D32">
    <cfRule type="expression" dxfId="0" priority="1">
      <formula>OR($B$30="Inicial menor a la requerida",$B$30="Capacidad de Pago Insuficiente",$D$30="Monto mínimo a otorgar es Bs. 1.500.000,00",$D$30="No califica para el monto solicitado")</formula>
    </cfRule>
  </conditionalFormatting>
  <dataValidations xWindow="652" yWindow="589" count="10">
    <dataValidation type="list" allowBlank="1" showErrorMessage="1" error="_x000a_" promptTitle="Carga Familiar no incluye al Sol" sqref="D21">
      <formula1>IF(C12="Línea Nómina",LN,Cliente)</formula1>
    </dataValidation>
    <dataValidation type="decimal" allowBlank="1" showInputMessage="1" showErrorMessage="1" errorTitle="Error en Valor Ingresado" error="Ingreso mensual no puede estar fuera de los parametros de salario mínimo establecidos para este producto." sqref="D22">
      <formula1>IMin</formula1>
      <formula2>IMax</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I26 I19"/>
    <dataValidation type="whole" allowBlank="1" showErrorMessage="1" errorTitle="Error en Valor Ingresado" error="Por favor verifique el valor ingresado, el cual debe ser igual o mayor a 0_x000a_" promptTitle="Carga Familiar no incluye al Sol" sqref="D25">
      <formula1>0</formula1>
      <formula2>99</formula2>
    </dataValidation>
    <dataValidation type="decimal" allowBlank="1" showErrorMessage="1" errorTitle="Error en Valor Ingresado" error="Por favor verifique el valor ingresado, el cual debe ser igual o mayor a 0" sqref="D23:D24">
      <formula1>0</formula1>
      <formula2>99999999999.99</formula2>
    </dataValidation>
    <dataValidation type="list" allowBlank="1" showErrorMessage="1" error="_x000a_" promptTitle="Carga Familiar no incluye al Sol" sqref="D26">
      <formula1>Cliente</formula1>
    </dataValidation>
    <dataValidation type="decimal" operator="lessThanOrEqual" allowBlank="1" showInputMessage="1" showErrorMessage="1" errorTitle="Verifique la Tasa de Interes" error="La tasa de interes promocional no puede ser mayor a la tasa de interes actual del producto." sqref="D17">
      <formula1>TI</formula1>
    </dataValidation>
    <dataValidation type="decimal" operator="lessThanOrEqual" allowBlank="1" showInputMessage="1" showErrorMessage="1" errorTitle="Verifique Plazo Solicitado" error="El plazo solicitado no puede ser mayor al plazo actual del producto." sqref="D19">
      <formula1>PM</formula1>
    </dataValidation>
    <dataValidation type="whole" allowBlank="1" showInputMessage="1" showErrorMessage="1" sqref="D15">
      <formula1>MMin</formula1>
      <formula2>MMax</formula2>
    </dataValidation>
    <dataValidation type="list" allowBlank="1" showInputMessage="1" showErrorMessage="1" sqref="D18">
      <formula1>INDIRECT($C$12)</formula1>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drawing r:id="rId2"/>
  <legacyDrawing r:id="rId3"/>
  <extLst>
    <ext xmlns:x14="http://schemas.microsoft.com/office/spreadsheetml/2009/9/main" uri="{CCE6A557-97BC-4b89-ADB6-D9C93CAAB3DF}">
      <x14:dataValidations xmlns:xm="http://schemas.microsoft.com/office/excel/2006/main" xWindow="652" yWindow="589" count="1">
        <x14:dataValidation type="list" allowBlank="1" showInputMessage="1" showErrorMessage="1">
          <x14:formula1>
            <xm:f>'Factor (2)'!$B$14:$B$21</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U87"/>
  <sheetViews>
    <sheetView showGridLines="0" topLeftCell="A46" zoomScale="80" zoomScaleNormal="80" workbookViewId="0">
      <selection activeCell="B34" sqref="B34:C50"/>
    </sheetView>
  </sheetViews>
  <sheetFormatPr baseColWidth="10" defaultRowHeight="12.75" x14ac:dyDescent="0.2"/>
  <cols>
    <col min="1" max="1" width="2.5703125" style="176" bestFit="1" customWidth="1"/>
    <col min="2" max="2" width="47" style="52" bestFit="1" customWidth="1"/>
    <col min="3" max="3" width="23.42578125" style="52" bestFit="1" customWidth="1"/>
    <col min="4" max="4" width="26.5703125" style="52" bestFit="1" customWidth="1"/>
    <col min="5" max="5" width="34.140625" style="52" bestFit="1" customWidth="1"/>
    <col min="6" max="6" width="32.42578125" style="52" customWidth="1"/>
    <col min="7" max="7" width="21.85546875" style="52" customWidth="1"/>
    <col min="8" max="8" width="24.140625" style="52" customWidth="1"/>
    <col min="9" max="9" width="41.5703125" style="52" customWidth="1"/>
    <col min="10" max="10" width="34.42578125" style="52" customWidth="1"/>
    <col min="11" max="11" width="14.28515625" style="52" customWidth="1"/>
    <col min="12" max="12" width="18.85546875" style="52" customWidth="1"/>
    <col min="13" max="13" width="11.42578125" style="52"/>
    <col min="14" max="14" width="39.85546875" style="52" bestFit="1" customWidth="1"/>
    <col min="15" max="15" width="21.7109375" style="52" bestFit="1" customWidth="1"/>
    <col min="16" max="16" width="12" style="52" bestFit="1" customWidth="1"/>
    <col min="17" max="16384" width="11.42578125" style="52"/>
  </cols>
  <sheetData>
    <row r="1" spans="2:16" ht="51" thickTop="1" thickBot="1" x14ac:dyDescent="0.3">
      <c r="B1" s="51" t="s">
        <v>18</v>
      </c>
      <c r="D1" s="53" t="s">
        <v>60</v>
      </c>
      <c r="E1" s="52">
        <v>100000</v>
      </c>
      <c r="G1" s="69" t="s">
        <v>25</v>
      </c>
      <c r="J1" s="51" t="s">
        <v>61</v>
      </c>
      <c r="K1" s="52" t="s">
        <v>80</v>
      </c>
      <c r="L1" s="51" t="s">
        <v>28</v>
      </c>
      <c r="N1" s="51" t="s">
        <v>62</v>
      </c>
      <c r="O1" s="51" t="s">
        <v>63</v>
      </c>
      <c r="P1" s="51" t="s">
        <v>64</v>
      </c>
    </row>
    <row r="2" spans="2:16" ht="14.25" thickTop="1" thickBot="1" x14ac:dyDescent="0.25">
      <c r="B2" s="104">
        <f>+Tabla!C12</f>
        <v>0</v>
      </c>
      <c r="G2" s="54" t="s">
        <v>14</v>
      </c>
      <c r="J2" s="54" t="s">
        <v>65</v>
      </c>
      <c r="K2" s="52" t="s">
        <v>80</v>
      </c>
      <c r="L2" s="166">
        <v>12</v>
      </c>
      <c r="N2" s="55" t="s">
        <v>66</v>
      </c>
      <c r="O2" s="56">
        <v>1</v>
      </c>
      <c r="P2" s="52" t="e">
        <f>+IF(#REF!="","",IF(AND(#REF!&gt;=0,#REF!&lt;N3),O2,""))</f>
        <v>#REF!</v>
      </c>
    </row>
    <row r="3" spans="2:16" ht="13.5" thickBot="1" x14ac:dyDescent="0.25">
      <c r="G3" s="57" t="s">
        <v>15</v>
      </c>
      <c r="J3" s="57" t="s">
        <v>67</v>
      </c>
      <c r="K3" s="52" t="s">
        <v>80</v>
      </c>
      <c r="L3" s="166">
        <v>18</v>
      </c>
      <c r="N3" s="55">
        <v>1</v>
      </c>
      <c r="O3" s="56">
        <v>0.8</v>
      </c>
      <c r="P3" s="58" t="e">
        <f>+IF(#REF!="","",IF(AND(#REF!&gt;=N3,#REF!&lt;N4),O3,""))</f>
        <v>#REF!</v>
      </c>
    </row>
    <row r="4" spans="2:16" x14ac:dyDescent="0.2">
      <c r="L4" s="166">
        <v>24</v>
      </c>
      <c r="N4" s="55">
        <v>1.1000000000000001</v>
      </c>
      <c r="O4" s="56">
        <v>0.7742</v>
      </c>
      <c r="P4" s="58" t="e">
        <f>+IF(#REF!="","",IF(AND(#REF!&gt;=N4,#REF!&lt;N26),O4,""))</f>
        <v>#REF!</v>
      </c>
    </row>
    <row r="5" spans="2:16" ht="13.5" thickBot="1" x14ac:dyDescent="0.25">
      <c r="B5" s="51" t="s">
        <v>68</v>
      </c>
      <c r="C5" s="51" t="s">
        <v>69</v>
      </c>
      <c r="D5" s="51" t="s">
        <v>70</v>
      </c>
      <c r="E5" s="62"/>
      <c r="H5" s="138">
        <v>6746.98</v>
      </c>
      <c r="L5" s="167">
        <v>36</v>
      </c>
      <c r="N5" s="55">
        <v>1.7</v>
      </c>
      <c r="O5" s="56">
        <v>0.61939999999999995</v>
      </c>
      <c r="P5" s="58" t="e">
        <f>+IF(#REF!="","",IF(AND(#REF!&gt;=N5,#REF!&lt;N6),O5,""))</f>
        <v>#REF!</v>
      </c>
    </row>
    <row r="6" spans="2:16" ht="25.5" x14ac:dyDescent="0.2">
      <c r="B6" s="220" t="s">
        <v>114</v>
      </c>
      <c r="C6" s="221">
        <f ca="1">+TODAY()</f>
        <v>43329</v>
      </c>
      <c r="D6" s="222">
        <v>51.96</v>
      </c>
      <c r="E6" s="63"/>
      <c r="G6" s="137">
        <v>42186</v>
      </c>
      <c r="H6" s="139">
        <v>7421.68</v>
      </c>
      <c r="N6" s="55">
        <v>1.8</v>
      </c>
      <c r="O6" s="56">
        <v>0.59350000000000003</v>
      </c>
      <c r="P6" s="58" t="e">
        <f>+IF(#REF!="","",IF(AND(#REF!&gt;=N6,#REF!&lt;N7),O6,""))</f>
        <v>#REF!</v>
      </c>
    </row>
    <row r="7" spans="2:16" ht="13.5" thickBot="1" x14ac:dyDescent="0.25">
      <c r="B7" s="64" t="s">
        <v>9</v>
      </c>
      <c r="C7" s="65">
        <f ca="1">+C6</f>
        <v>43329</v>
      </c>
      <c r="D7" s="66">
        <v>1.2E-2</v>
      </c>
      <c r="E7" s="63"/>
      <c r="N7" s="55">
        <v>1.9</v>
      </c>
      <c r="O7" s="56">
        <v>0.56769999999999998</v>
      </c>
      <c r="P7" s="58" t="e">
        <f>+IF(#REF!="","",IF(AND(#REF!&gt;=N7,#REF!&lt;#REF!),O7,""))</f>
        <v>#REF!</v>
      </c>
    </row>
    <row r="8" spans="2:16" x14ac:dyDescent="0.2">
      <c r="B8" s="120" t="s">
        <v>23</v>
      </c>
      <c r="C8" s="121">
        <f ca="1">+C6</f>
        <v>43329</v>
      </c>
      <c r="D8" s="122">
        <f>(+SM)/100000</f>
        <v>5.1960000000000005E-4</v>
      </c>
      <c r="E8" s="63"/>
      <c r="N8" s="55"/>
      <c r="O8" s="56"/>
      <c r="P8" s="58"/>
    </row>
    <row r="9" spans="2:16" ht="41.25" customHeight="1" thickBot="1" x14ac:dyDescent="0.25">
      <c r="B9" s="126" t="s">
        <v>24</v>
      </c>
      <c r="C9" s="127">
        <f ca="1">+C6</f>
        <v>43329</v>
      </c>
      <c r="D9" s="128">
        <v>7.0000000000000007E-2</v>
      </c>
      <c r="E9" s="129" t="str">
        <f>+CONCATENATE("El ingreso mínimo para optar a este producto es &gt;= Bs.",MID(D9,1,1),".",MID(D9,2,3))</f>
        <v>El ingreso mínimo para optar a este producto es &gt;= Bs.0.,07</v>
      </c>
      <c r="N9" s="55"/>
      <c r="O9" s="56"/>
      <c r="P9" s="58"/>
    </row>
    <row r="10" spans="2:16" x14ac:dyDescent="0.2">
      <c r="B10" s="224" t="s">
        <v>116</v>
      </c>
      <c r="C10" s="225">
        <v>408.97772450194213</v>
      </c>
      <c r="D10" s="63"/>
      <c r="N10" s="55"/>
      <c r="O10" s="56"/>
      <c r="P10" s="58"/>
    </row>
    <row r="11" spans="2:16" x14ac:dyDescent="0.2">
      <c r="B11" s="67"/>
      <c r="C11" s="68"/>
      <c r="D11" s="63"/>
      <c r="N11" s="55"/>
      <c r="O11" s="56"/>
      <c r="P11" s="58"/>
    </row>
    <row r="12" spans="2:16" x14ac:dyDescent="0.2">
      <c r="B12" s="105">
        <v>1</v>
      </c>
      <c r="C12" s="105">
        <v>2</v>
      </c>
      <c r="D12" s="105">
        <v>3</v>
      </c>
      <c r="E12" s="106">
        <v>4</v>
      </c>
      <c r="F12" s="106">
        <v>5</v>
      </c>
      <c r="G12" s="106">
        <v>6</v>
      </c>
      <c r="H12" s="106">
        <v>7</v>
      </c>
      <c r="I12" s="106">
        <v>8</v>
      </c>
      <c r="J12" s="106">
        <v>9</v>
      </c>
      <c r="N12" s="55">
        <v>2.5</v>
      </c>
      <c r="O12" s="56">
        <v>0.41289999999999999</v>
      </c>
      <c r="P12" s="58" t="e">
        <f>+IF(#REF!="","",IF(AND(#REF!&gt;=N12,#REF!&lt;#REF!),O12,""))</f>
        <v>#REF!</v>
      </c>
    </row>
    <row r="13" spans="2:16" x14ac:dyDescent="0.2">
      <c r="B13" s="51" t="s">
        <v>18</v>
      </c>
      <c r="C13" s="51" t="s">
        <v>27</v>
      </c>
      <c r="D13" s="51" t="s">
        <v>28</v>
      </c>
      <c r="E13" s="51" t="s">
        <v>33</v>
      </c>
      <c r="F13" s="51" t="s">
        <v>34</v>
      </c>
      <c r="G13" s="51" t="s">
        <v>83</v>
      </c>
      <c r="H13" s="51" t="s">
        <v>84</v>
      </c>
      <c r="I13" s="51" t="s">
        <v>82</v>
      </c>
      <c r="J13" s="51" t="s">
        <v>100</v>
      </c>
      <c r="N13" s="55"/>
      <c r="O13" s="56"/>
      <c r="P13" s="58"/>
    </row>
    <row r="14" spans="2:16" ht="25.5" x14ac:dyDescent="0.2">
      <c r="B14" s="95" t="s">
        <v>102</v>
      </c>
      <c r="C14" s="96">
        <v>0.24</v>
      </c>
      <c r="D14" s="97"/>
      <c r="E14" s="181">
        <v>490</v>
      </c>
      <c r="F14" s="181">
        <v>99999999999999.906</v>
      </c>
      <c r="G14" s="181">
        <v>1440</v>
      </c>
      <c r="H14" s="181">
        <v>7000</v>
      </c>
      <c r="I14" s="98" t="str">
        <f>+CONCATENATE("Monto del crédito solicitado
(Entre Bs S.",MID(G14,1,1),".",MID(G14,2,3)," y Bs S.",MID(H14,1,1),".",MID(H14,2,3),")")</f>
        <v>Monto del crédito solicitado
(Entre Bs S.1.440 y Bs S.7.000)</v>
      </c>
      <c r="J14" s="98" t="str">
        <f>+CONCATENATE("Ingreso Mínimo Requerido Bs S. ",MID(E14,1,3))</f>
        <v>Ingreso Mínimo Requerido Bs S. 490</v>
      </c>
      <c r="N14" s="55"/>
      <c r="O14" s="56"/>
      <c r="P14" s="58"/>
    </row>
    <row r="15" spans="2:16" ht="25.5" x14ac:dyDescent="0.2">
      <c r="B15" s="95" t="s">
        <v>103</v>
      </c>
      <c r="C15" s="96">
        <v>0.24</v>
      </c>
      <c r="D15" s="97"/>
      <c r="E15" s="181">
        <v>490</v>
      </c>
      <c r="F15" s="181">
        <v>99999999999999.906</v>
      </c>
      <c r="G15" s="181">
        <v>1440</v>
      </c>
      <c r="H15" s="181">
        <v>7000</v>
      </c>
      <c r="I15" s="98" t="str">
        <f t="shared" ref="I15:I21" si="0">+CONCATENATE("Monto del crédito solicitado
(Entre Bs S.",MID(G15,1,1),".",MID(G15,2,3)," y Bs S.",MID(H15,1,1),".",MID(H15,2,3),")")</f>
        <v>Monto del crédito solicitado
(Entre Bs S.1.440 y Bs S.7.000)</v>
      </c>
      <c r="J15" s="98" t="str">
        <f t="shared" ref="J15:J21" si="1">+CONCATENATE("Ingreso Mínimo Requerido Bs S. ",MID(E15,1,3))</f>
        <v>Ingreso Mínimo Requerido Bs S. 490</v>
      </c>
      <c r="N15" s="55"/>
      <c r="O15" s="56"/>
      <c r="P15" s="58"/>
    </row>
    <row r="16" spans="2:16" ht="25.5" x14ac:dyDescent="0.2">
      <c r="B16" s="95" t="s">
        <v>104</v>
      </c>
      <c r="C16" s="96">
        <v>0.24</v>
      </c>
      <c r="D16" s="97"/>
      <c r="E16" s="181">
        <v>490</v>
      </c>
      <c r="F16" s="181">
        <v>99999999999999.906</v>
      </c>
      <c r="G16" s="181">
        <v>1440</v>
      </c>
      <c r="H16" s="181">
        <v>7000</v>
      </c>
      <c r="I16" s="98" t="str">
        <f t="shared" si="0"/>
        <v>Monto del crédito solicitado
(Entre Bs S.1.440 y Bs S.7.000)</v>
      </c>
      <c r="J16" s="98" t="str">
        <f t="shared" si="1"/>
        <v>Ingreso Mínimo Requerido Bs S. 490</v>
      </c>
      <c r="N16" s="55"/>
      <c r="O16" s="56"/>
      <c r="P16" s="58"/>
    </row>
    <row r="17" spans="2:21" ht="25.5" x14ac:dyDescent="0.2">
      <c r="B17" s="160" t="s">
        <v>105</v>
      </c>
      <c r="C17" s="161">
        <v>0.24</v>
      </c>
      <c r="D17" s="162"/>
      <c r="E17" s="181">
        <v>490</v>
      </c>
      <c r="F17" s="182">
        <v>99999999999999.906</v>
      </c>
      <c r="G17" s="181">
        <v>1440</v>
      </c>
      <c r="H17" s="181">
        <v>7000</v>
      </c>
      <c r="I17" s="98" t="str">
        <f t="shared" si="0"/>
        <v>Monto del crédito solicitado
(Entre Bs S.1.440 y Bs S.7.000)</v>
      </c>
      <c r="J17" s="98" t="str">
        <f t="shared" si="1"/>
        <v>Ingreso Mínimo Requerido Bs S. 490</v>
      </c>
      <c r="N17" s="55"/>
      <c r="O17" s="56"/>
      <c r="P17" s="58"/>
    </row>
    <row r="18" spans="2:21" ht="25.5" x14ac:dyDescent="0.2">
      <c r="B18" s="160" t="s">
        <v>111</v>
      </c>
      <c r="C18" s="161">
        <v>0.24</v>
      </c>
      <c r="D18" s="162"/>
      <c r="E18" s="181">
        <v>490</v>
      </c>
      <c r="F18" s="182">
        <v>99999999999999.906</v>
      </c>
      <c r="G18" s="181">
        <v>1440</v>
      </c>
      <c r="H18" s="181">
        <v>99999999.999990001</v>
      </c>
      <c r="I18" s="163" t="str">
        <f>+CONCATENATE("Monto del crédito solicitado
(Desde Bs S.",MID(G18,1,1),".",MID(G18,2,3))</f>
        <v>Monto del crédito solicitado
(Desde Bs S.1.440</v>
      </c>
      <c r="J18" s="98" t="str">
        <f t="shared" si="1"/>
        <v>Ingreso Mínimo Requerido Bs S. 490</v>
      </c>
      <c r="N18" s="55"/>
      <c r="O18" s="56"/>
      <c r="P18" s="58"/>
    </row>
    <row r="19" spans="2:21" ht="25.5" x14ac:dyDescent="0.2">
      <c r="B19" s="95" t="s">
        <v>106</v>
      </c>
      <c r="C19" s="96">
        <v>0.24</v>
      </c>
      <c r="D19" s="97"/>
      <c r="E19" s="181">
        <v>490</v>
      </c>
      <c r="F19" s="181">
        <v>99999999999999.906</v>
      </c>
      <c r="G19" s="181">
        <v>1440</v>
      </c>
      <c r="H19" s="181">
        <v>7000</v>
      </c>
      <c r="I19" s="98" t="str">
        <f t="shared" si="0"/>
        <v>Monto del crédito solicitado
(Entre Bs S.1.440 y Bs S.7.000)</v>
      </c>
      <c r="J19" s="98" t="str">
        <f t="shared" si="1"/>
        <v>Ingreso Mínimo Requerido Bs S. 490</v>
      </c>
      <c r="N19" s="55"/>
      <c r="O19" s="56"/>
      <c r="P19" s="58"/>
    </row>
    <row r="20" spans="2:21" ht="25.5" x14ac:dyDescent="0.2">
      <c r="B20" s="95" t="s">
        <v>113</v>
      </c>
      <c r="C20" s="96">
        <v>0.24</v>
      </c>
      <c r="D20" s="97"/>
      <c r="E20" s="181">
        <v>490</v>
      </c>
      <c r="F20" s="181">
        <v>99999999999999.906</v>
      </c>
      <c r="G20" s="181">
        <v>7000</v>
      </c>
      <c r="H20" s="181">
        <v>15000</v>
      </c>
      <c r="I20" s="98" t="str">
        <f t="shared" si="0"/>
        <v>Monto del crédito solicitado
(Entre Bs S.7.000 y Bs S.1.500)</v>
      </c>
      <c r="J20" s="98" t="str">
        <f t="shared" si="1"/>
        <v>Ingreso Mínimo Requerido Bs S. 490</v>
      </c>
      <c r="N20" s="55"/>
      <c r="O20" s="56"/>
      <c r="P20" s="58"/>
    </row>
    <row r="21" spans="2:21" ht="25.5" x14ac:dyDescent="0.2">
      <c r="B21" s="95" t="s">
        <v>107</v>
      </c>
      <c r="C21" s="164">
        <v>0.24</v>
      </c>
      <c r="D21" s="97"/>
      <c r="E21" s="181">
        <v>202</v>
      </c>
      <c r="F21" s="181">
        <v>99999999999999.906</v>
      </c>
      <c r="G21" s="181">
        <v>1020</v>
      </c>
      <c r="H21" s="181">
        <v>7000</v>
      </c>
      <c r="I21" s="98" t="str">
        <f t="shared" si="0"/>
        <v>Monto del crédito solicitado
(Entre Bs S.1.020 y Bs S.7.000)</v>
      </c>
      <c r="J21" s="98" t="str">
        <f t="shared" si="1"/>
        <v>Ingreso Mínimo Requerido Bs S. 202</v>
      </c>
      <c r="N21" s="55"/>
      <c r="O21" s="56"/>
      <c r="P21" s="58"/>
    </row>
    <row r="22" spans="2:21" ht="24.75" customHeight="1" x14ac:dyDescent="0.2">
      <c r="B22" s="95" t="s">
        <v>108</v>
      </c>
      <c r="C22" s="96">
        <v>0.12</v>
      </c>
      <c r="D22" s="97"/>
      <c r="E22" s="181">
        <v>30</v>
      </c>
      <c r="F22" s="181">
        <v>99999999999999.906</v>
      </c>
      <c r="G22" s="181">
        <v>1</v>
      </c>
      <c r="H22" s="181">
        <v>3</v>
      </c>
      <c r="I22" s="98" t="str">
        <f>+CONCATENATE("Monto del crédito solicitado
(Entre Bs.",MID(G22,1,3),".",MID(G22,3,3)," y Bs.",MID(H22,1,3),".",MID(H22,4,3),")")</f>
        <v>Monto del crédito solicitado
(Entre Bs.1. y Bs.3.)</v>
      </c>
      <c r="J22" s="98" t="str">
        <f t="shared" ref="J22" si="2">+CONCATENATE("Ingreso Mínimo Requerido Bs. ",MID(E22,1,1),".",MID(E22,4,3),".",MID(E22,4,3))</f>
        <v>Ingreso Mínimo Requerido Bs. 3..</v>
      </c>
      <c r="N22" s="55"/>
      <c r="O22" s="56"/>
      <c r="P22" s="58"/>
    </row>
    <row r="23" spans="2:21" ht="13.5" thickBot="1" x14ac:dyDescent="0.25">
      <c r="B23" s="99"/>
      <c r="C23" s="100"/>
      <c r="D23" s="101"/>
      <c r="E23" s="102"/>
      <c r="F23" s="102"/>
      <c r="G23" s="102"/>
      <c r="H23" s="102"/>
      <c r="I23" s="103"/>
      <c r="J23" s="103"/>
      <c r="N23" s="55"/>
      <c r="O23" s="56"/>
      <c r="P23" s="58"/>
    </row>
    <row r="24" spans="2:21" ht="13.5" thickTop="1" x14ac:dyDescent="0.2">
      <c r="B24" s="67"/>
      <c r="C24" s="68"/>
      <c r="D24" s="63"/>
      <c r="N24" s="55"/>
      <c r="O24" s="56"/>
      <c r="P24" s="58"/>
    </row>
    <row r="25" spans="2:21" x14ac:dyDescent="0.2">
      <c r="B25" s="67"/>
      <c r="C25" s="68"/>
      <c r="D25" s="63"/>
      <c r="N25" s="55"/>
      <c r="O25" s="56"/>
      <c r="P25" s="58"/>
    </row>
    <row r="26" spans="2:21" x14ac:dyDescent="0.2">
      <c r="B26" s="51" t="s">
        <v>18</v>
      </c>
      <c r="C26" s="51" t="s">
        <v>27</v>
      </c>
      <c r="D26" s="51" t="s">
        <v>28</v>
      </c>
      <c r="E26" s="51" t="s">
        <v>33</v>
      </c>
      <c r="F26" s="51" t="s">
        <v>34</v>
      </c>
      <c r="G26" s="51" t="s">
        <v>83</v>
      </c>
      <c r="H26" s="51" t="s">
        <v>84</v>
      </c>
      <c r="I26" s="51" t="s">
        <v>82</v>
      </c>
      <c r="J26" s="51" t="s">
        <v>100</v>
      </c>
      <c r="N26" s="55">
        <v>1.2</v>
      </c>
      <c r="O26" s="56">
        <v>0.74839999999999995</v>
      </c>
      <c r="P26" s="58" t="e">
        <f>+IF(#REF!="","",IF(AND(#REF!&gt;=N26,#REF!&lt;N27),O26,""))</f>
        <v>#REF!</v>
      </c>
    </row>
    <row r="27" spans="2:21" ht="30.75" customHeight="1" x14ac:dyDescent="0.2">
      <c r="B27" s="173" t="str">
        <f>+IF(Tabla!C12="","",Tabla!C12)</f>
        <v/>
      </c>
      <c r="C27" s="109" t="e">
        <f>+IF(Tabla!D17="",C28,MIN(C28:C29))</f>
        <v>#N/A</v>
      </c>
      <c r="D27" s="107" t="str">
        <f>+IF(Tabla!D19="",D28,MIN(D28:D29))</f>
        <v/>
      </c>
      <c r="E27" s="110" t="e">
        <f>+VLOOKUP($B27,$B$13:$I$23,E12,FALSE)</f>
        <v>#N/A</v>
      </c>
      <c r="F27" s="111" t="e">
        <f>+VLOOKUP($B27,$B$13:$I$23,F12,FALSE)</f>
        <v>#N/A</v>
      </c>
      <c r="G27" s="112" t="e">
        <f>+VLOOKUP($B27,$B$13:$I$23,G12,FALSE)</f>
        <v>#N/A</v>
      </c>
      <c r="H27" s="112" t="e">
        <f>+VLOOKUP($B27,$B$13:$I$23,H12,FALSE)</f>
        <v>#N/A</v>
      </c>
      <c r="I27" s="108" t="e">
        <f>+VLOOKUP($B27,$B$13:$I$23,I12,FALSE)</f>
        <v>#N/A</v>
      </c>
      <c r="J27" s="108" t="e">
        <f>+VLOOKUP($B27,$B$13:$J$23,J12,FALSE)</f>
        <v>#N/A</v>
      </c>
      <c r="N27" s="55">
        <v>1.3</v>
      </c>
      <c r="O27" s="56">
        <v>0.72260000000000002</v>
      </c>
      <c r="P27" s="58" t="e">
        <f>+IF(#REF!="","",IF(AND(#REF!&gt;=N27,#REF!&lt;N28),O27,""))</f>
        <v>#REF!</v>
      </c>
    </row>
    <row r="28" spans="2:21" ht="13.5" thickBot="1" x14ac:dyDescent="0.25">
      <c r="B28" s="59"/>
      <c r="C28" s="113" t="e">
        <f>+VLOOKUP($B27,$B$13:$I$23,C12,FALSE)</f>
        <v>#N/A</v>
      </c>
      <c r="D28" s="60" t="str">
        <f>IF(Tabla!C12="","",Tabla!D18)</f>
        <v/>
      </c>
      <c r="E28" s="57"/>
      <c r="F28" s="60"/>
      <c r="G28" s="60"/>
      <c r="H28" s="60"/>
      <c r="I28" s="60"/>
      <c r="J28" s="60"/>
      <c r="N28" s="55">
        <v>1.4</v>
      </c>
      <c r="O28" s="56">
        <v>0.69679999999999997</v>
      </c>
      <c r="P28" s="58" t="e">
        <f>+IF(#REF!="","",IF(AND(#REF!&gt;=N28,#REF!&lt;N29),O28,""))</f>
        <v>#REF!</v>
      </c>
    </row>
    <row r="29" spans="2:21" ht="13.5" thickBot="1" x14ac:dyDescent="0.25">
      <c r="B29" s="59" t="s">
        <v>85</v>
      </c>
      <c r="C29" s="113">
        <f>+Tabla!D17</f>
        <v>0</v>
      </c>
      <c r="D29" s="60">
        <f>+Tabla!D19</f>
        <v>0</v>
      </c>
      <c r="E29" s="61"/>
      <c r="N29" s="55">
        <v>1.5</v>
      </c>
      <c r="O29" s="56">
        <v>0.67100000000000004</v>
      </c>
      <c r="P29" s="58" t="e">
        <f>+IF(#REF!="","",IF(AND(#REF!&gt;=N29,#REF!&lt;N30),O29,""))</f>
        <v>#REF!</v>
      </c>
    </row>
    <row r="30" spans="2:21" x14ac:dyDescent="0.2">
      <c r="N30" s="55">
        <v>1.6</v>
      </c>
      <c r="O30" s="56">
        <v>0.6452</v>
      </c>
      <c r="P30" s="58" t="e">
        <f>+IF(#REF!="","",IF(AND(#REF!&gt;=N30,#REF!&lt;N5),O30,""))</f>
        <v>#REF!</v>
      </c>
    </row>
    <row r="31" spans="2:21" x14ac:dyDescent="0.2">
      <c r="B31" s="70"/>
      <c r="C31" s="70"/>
      <c r="D31" s="70"/>
      <c r="N31" s="71">
        <v>3.1</v>
      </c>
      <c r="O31" s="72">
        <v>0.2581</v>
      </c>
      <c r="P31" s="58" t="e">
        <f>+IF(#REF!="","",IF(AND(#REF!&gt;=N31,#REF!&lt;N32),O31,""))</f>
        <v>#REF!</v>
      </c>
    </row>
    <row r="32" spans="2:21" x14ac:dyDescent="0.2">
      <c r="B32" s="51" t="s">
        <v>95</v>
      </c>
      <c r="C32" s="180"/>
      <c r="D32" s="179"/>
      <c r="E32" s="74"/>
      <c r="F32" s="74"/>
      <c r="G32" s="74"/>
      <c r="H32" s="74"/>
      <c r="I32" s="74"/>
      <c r="J32" s="73"/>
      <c r="K32" s="73"/>
      <c r="M32" s="75"/>
      <c r="N32" s="71">
        <v>3.2</v>
      </c>
      <c r="O32" s="76">
        <v>0.23230000000000001</v>
      </c>
      <c r="P32" s="58" t="e">
        <f>+IF(#REF!="","",IF(AND(#REF!&gt;=N32,#REF!&lt;N33),O32,""))</f>
        <v>#REF!</v>
      </c>
      <c r="S32" s="70"/>
      <c r="T32" s="77"/>
      <c r="U32" s="78"/>
    </row>
    <row r="33" spans="2:21" x14ac:dyDescent="0.2">
      <c r="B33" s="51" t="s">
        <v>86</v>
      </c>
      <c r="C33" s="51" t="s">
        <v>87</v>
      </c>
      <c r="D33" s="79" t="s">
        <v>3</v>
      </c>
      <c r="E33" s="79" t="s">
        <v>115</v>
      </c>
      <c r="F33" s="80" t="s">
        <v>2</v>
      </c>
      <c r="G33" s="79" t="s">
        <v>4</v>
      </c>
      <c r="H33" s="114"/>
      <c r="I33" s="79" t="s">
        <v>117</v>
      </c>
      <c r="L33" s="75"/>
      <c r="M33" s="70"/>
      <c r="N33" s="55">
        <v>3.3</v>
      </c>
      <c r="O33" s="56">
        <v>0.20649999999999999</v>
      </c>
      <c r="P33" s="58" t="e">
        <f>+IF(#REF!="","",IF(AND(#REF!&gt;=N33,#REF!&lt;N34),O33,""))</f>
        <v>#REF!</v>
      </c>
      <c r="Q33" s="70"/>
      <c r="S33" s="70"/>
      <c r="T33" s="81"/>
      <c r="U33" s="82"/>
    </row>
    <row r="34" spans="2:21" x14ac:dyDescent="0.2">
      <c r="B34" s="226">
        <f>+SM</f>
        <v>51.96</v>
      </c>
      <c r="C34" s="226">
        <f>+(B34*H34)+B34</f>
        <v>57.155999999999999</v>
      </c>
      <c r="D34" s="143">
        <v>10</v>
      </c>
      <c r="E34" s="143">
        <f>+$C$10*I34</f>
        <v>408.97772450194213</v>
      </c>
      <c r="F34" s="144" t="str">
        <f>IF(AND((($C$55*80%)+(50%*$C$56))&gt;=B34,(($C$55*80%)+(50%*$C$56))&lt;C34),D34,"")</f>
        <v/>
      </c>
      <c r="G34" s="145" t="str">
        <f>IF(AND((($C$55*80%)+(50%*$C$56))&gt;=B34,(($C$55*80%)+(50%*$C$56))&lt;C34),E34,"")</f>
        <v/>
      </c>
      <c r="H34" s="223">
        <v>0.1</v>
      </c>
      <c r="I34" s="143">
        <v>1</v>
      </c>
      <c r="J34" s="52">
        <v>1</v>
      </c>
      <c r="K34" s="142">
        <v>1500</v>
      </c>
      <c r="L34" s="142">
        <v>3000</v>
      </c>
      <c r="M34" s="78"/>
      <c r="N34" s="55">
        <v>3.4</v>
      </c>
      <c r="O34" s="56">
        <v>0.18060000000000001</v>
      </c>
      <c r="P34" s="58" t="e">
        <f>+IF(#REF!="","",IF(AND(#REF!&gt;=N34,#REF!&lt;N35),O34,""))</f>
        <v>#REF!</v>
      </c>
      <c r="Q34" s="83"/>
      <c r="S34" s="70"/>
      <c r="T34" s="84"/>
      <c r="U34" s="84"/>
    </row>
    <row r="35" spans="2:21" x14ac:dyDescent="0.2">
      <c r="B35" s="227">
        <f>+C34</f>
        <v>57.155999999999999</v>
      </c>
      <c r="C35" s="227">
        <f t="shared" ref="C35:C49" si="3">+(B35*H35)+B35</f>
        <v>62.871600000000001</v>
      </c>
      <c r="D35" s="147">
        <v>10</v>
      </c>
      <c r="E35" s="147">
        <f t="shared" ref="E35:E50" si="4">+$C$10*I35</f>
        <v>408.97772450194213</v>
      </c>
      <c r="F35" s="148" t="str">
        <f>IF(AND((($C$55*80%)+(50%*$C$56))&gt;=B35,(($C$55*80%)+(50%*$C$56))&lt;C35),D35,"")</f>
        <v/>
      </c>
      <c r="G35" s="149" t="str">
        <f>IF(AND((($C$55*80%)+(50%*$C$56))&gt;=B35,(($C$55*80%)+(50%*$C$56))&lt;C35),E35,"")</f>
        <v/>
      </c>
      <c r="H35" s="223">
        <v>0.1</v>
      </c>
      <c r="I35" s="147">
        <v>1</v>
      </c>
      <c r="J35" s="52">
        <v>1</v>
      </c>
      <c r="K35" s="146">
        <v>3001</v>
      </c>
      <c r="L35" s="146">
        <v>4500</v>
      </c>
      <c r="M35" s="78"/>
      <c r="N35" s="55">
        <v>3.5</v>
      </c>
      <c r="O35" s="56">
        <v>0.15479999999999999</v>
      </c>
      <c r="P35" s="58" t="e">
        <f>+IF(#REF!="","",IF(AND(#REF!&gt;=N35,#REF!&lt;N36),O35,""))</f>
        <v>#REF!</v>
      </c>
      <c r="Q35" s="85"/>
      <c r="S35" s="70"/>
      <c r="T35" s="70"/>
      <c r="U35" s="70"/>
    </row>
    <row r="36" spans="2:21" x14ac:dyDescent="0.2">
      <c r="B36" s="227">
        <f>+C35</f>
        <v>62.871600000000001</v>
      </c>
      <c r="C36" s="227">
        <f t="shared" si="3"/>
        <v>75.445920000000001</v>
      </c>
      <c r="D36" s="147">
        <v>10</v>
      </c>
      <c r="E36" s="147">
        <f t="shared" si="4"/>
        <v>511.2221556274277</v>
      </c>
      <c r="F36" s="148" t="str">
        <f t="shared" ref="F36:F49" si="5">IF(AND((($C$55*80%)+(50%*$C$56))&gt;=B36,(($C$55*80%)+(50%*$C$56))&lt;C36),D36,"")</f>
        <v/>
      </c>
      <c r="G36" s="149" t="str">
        <f t="shared" ref="G36:G49" si="6">IF(AND((($C$55*80%)+(50%*$C$56))&gt;=B36,(($C$55*80%)+(50%*$C$56))&lt;C36),E36,"")</f>
        <v/>
      </c>
      <c r="H36" s="223">
        <v>0.2</v>
      </c>
      <c r="I36" s="147">
        <v>1.25</v>
      </c>
      <c r="J36" s="52">
        <v>1.25</v>
      </c>
      <c r="K36" s="146">
        <v>4501</v>
      </c>
      <c r="L36" s="146">
        <v>5500</v>
      </c>
      <c r="M36" s="78"/>
      <c r="N36" s="55">
        <v>3.6</v>
      </c>
      <c r="O36" s="56">
        <v>0.129</v>
      </c>
      <c r="P36" s="58" t="e">
        <f>+IF(#REF!="","",IF(AND(#REF!&gt;=N36,#REF!&lt;N37),O36,""))</f>
        <v>#REF!</v>
      </c>
      <c r="Q36" s="85"/>
      <c r="S36" s="86"/>
      <c r="T36" s="83"/>
      <c r="U36" s="83"/>
    </row>
    <row r="37" spans="2:21" x14ac:dyDescent="0.2">
      <c r="B37" s="227">
        <f>+C36</f>
        <v>75.445920000000001</v>
      </c>
      <c r="C37" s="227">
        <f t="shared" si="3"/>
        <v>90.535104000000004</v>
      </c>
      <c r="D37" s="147">
        <v>10</v>
      </c>
      <c r="E37" s="147">
        <f t="shared" si="4"/>
        <v>613.46658675291314</v>
      </c>
      <c r="F37" s="148" t="str">
        <f t="shared" si="5"/>
        <v/>
      </c>
      <c r="G37" s="149" t="str">
        <f t="shared" si="6"/>
        <v/>
      </c>
      <c r="H37" s="223">
        <v>0.2</v>
      </c>
      <c r="I37" s="147">
        <v>1.5</v>
      </c>
      <c r="J37" s="52">
        <v>1.25</v>
      </c>
      <c r="K37" s="146">
        <v>5501</v>
      </c>
      <c r="L37" s="146">
        <v>7500</v>
      </c>
      <c r="M37" s="78"/>
      <c r="N37" s="55">
        <v>3.7</v>
      </c>
      <c r="O37" s="56">
        <v>0.1032</v>
      </c>
      <c r="P37" s="58" t="e">
        <f>+IF(#REF!="","",IF(AND(#REF!&gt;=N37,#REF!&lt;N38),O37,""))</f>
        <v>#REF!</v>
      </c>
      <c r="Q37" s="85"/>
      <c r="S37" s="78"/>
      <c r="T37" s="83"/>
      <c r="U37" s="83"/>
    </row>
    <row r="38" spans="2:21" x14ac:dyDescent="0.2">
      <c r="B38" s="227">
        <f t="shared" ref="B36:B49" si="7">+C37</f>
        <v>90.535104000000004</v>
      </c>
      <c r="C38" s="227">
        <f t="shared" si="3"/>
        <v>117.6956352</v>
      </c>
      <c r="D38" s="147">
        <v>10</v>
      </c>
      <c r="E38" s="147">
        <f t="shared" si="4"/>
        <v>715.71101787839871</v>
      </c>
      <c r="F38" s="148" t="str">
        <f t="shared" si="5"/>
        <v/>
      </c>
      <c r="G38" s="149" t="str">
        <f t="shared" si="6"/>
        <v/>
      </c>
      <c r="H38" s="223">
        <v>0.3</v>
      </c>
      <c r="I38" s="147">
        <v>1.75</v>
      </c>
      <c r="J38" s="52">
        <v>1.5</v>
      </c>
      <c r="K38" s="146">
        <v>7501</v>
      </c>
      <c r="L38" s="146">
        <v>10500</v>
      </c>
      <c r="M38" s="78"/>
      <c r="N38" s="71">
        <v>3.8</v>
      </c>
      <c r="O38" s="72">
        <v>7.7399999999999997E-2</v>
      </c>
      <c r="P38" s="58" t="e">
        <f>+IF(#REF!="","",IF(AND(#REF!&gt;=N38,#REF!&lt;N39),O38,""))</f>
        <v>#REF!</v>
      </c>
      <c r="Q38" s="85"/>
      <c r="S38" s="78"/>
      <c r="T38" s="83"/>
      <c r="U38" s="83"/>
    </row>
    <row r="39" spans="2:21" x14ac:dyDescent="0.2">
      <c r="B39" s="227">
        <f t="shared" si="7"/>
        <v>117.6956352</v>
      </c>
      <c r="C39" s="227">
        <f t="shared" si="3"/>
        <v>153.00432576</v>
      </c>
      <c r="D39" s="147">
        <v>10</v>
      </c>
      <c r="E39" s="147">
        <f t="shared" si="4"/>
        <v>817.95544900388427</v>
      </c>
      <c r="F39" s="148" t="str">
        <f t="shared" si="5"/>
        <v/>
      </c>
      <c r="G39" s="149" t="str">
        <f t="shared" si="6"/>
        <v/>
      </c>
      <c r="H39" s="223">
        <v>0.3</v>
      </c>
      <c r="I39" s="147">
        <v>2</v>
      </c>
      <c r="J39" s="52">
        <v>1.5</v>
      </c>
      <c r="K39" s="146">
        <v>10501</v>
      </c>
      <c r="L39" s="146">
        <v>12500</v>
      </c>
      <c r="M39" s="75"/>
      <c r="N39" s="71">
        <v>3.9</v>
      </c>
      <c r="O39" s="72">
        <v>5.16E-2</v>
      </c>
      <c r="P39" s="58" t="e">
        <f>+IF(#REF!="","",IF(AND(#REF!&gt;=N39,#REF!&lt;N40),O39,""))</f>
        <v>#REF!</v>
      </c>
      <c r="Q39" s="75"/>
      <c r="S39" s="78"/>
      <c r="T39" s="83"/>
      <c r="U39" s="83"/>
    </row>
    <row r="40" spans="2:21" x14ac:dyDescent="0.2">
      <c r="B40" s="227">
        <f t="shared" si="7"/>
        <v>153.00432576</v>
      </c>
      <c r="C40" s="227">
        <f t="shared" si="3"/>
        <v>214.20605606399999</v>
      </c>
      <c r="D40" s="147">
        <v>10</v>
      </c>
      <c r="E40" s="147">
        <f t="shared" si="4"/>
        <v>858.85322145407849</v>
      </c>
      <c r="F40" s="148" t="str">
        <f t="shared" si="5"/>
        <v/>
      </c>
      <c r="G40" s="149" t="str">
        <f t="shared" si="6"/>
        <v/>
      </c>
      <c r="H40" s="223">
        <v>0.4</v>
      </c>
      <c r="I40" s="147">
        <v>2.1</v>
      </c>
      <c r="J40" s="52">
        <v>1.75</v>
      </c>
      <c r="K40" s="146">
        <v>12501</v>
      </c>
      <c r="L40" s="146">
        <v>15500</v>
      </c>
      <c r="M40" s="75"/>
      <c r="N40" s="71">
        <v>4</v>
      </c>
      <c r="O40" s="72">
        <v>2.58E-2</v>
      </c>
      <c r="P40" s="58" t="e">
        <f>+IF(#REF!="","",IF(AND(#REF!&gt;=N40,#REF!&lt;N41),O40,""))</f>
        <v>#REF!</v>
      </c>
      <c r="Q40" s="75"/>
      <c r="S40" s="78"/>
      <c r="T40" s="83"/>
      <c r="U40" s="83"/>
    </row>
    <row r="41" spans="2:21" x14ac:dyDescent="0.2">
      <c r="B41" s="227">
        <f t="shared" si="7"/>
        <v>214.20605606399999</v>
      </c>
      <c r="C41" s="227">
        <f t="shared" si="3"/>
        <v>299.8884784896</v>
      </c>
      <c r="D41" s="147">
        <v>10</v>
      </c>
      <c r="E41" s="147">
        <f t="shared" si="4"/>
        <v>920.19988012936983</v>
      </c>
      <c r="F41" s="148" t="str">
        <f t="shared" si="5"/>
        <v/>
      </c>
      <c r="G41" s="149" t="str">
        <f t="shared" si="6"/>
        <v/>
      </c>
      <c r="H41" s="223">
        <v>0.4</v>
      </c>
      <c r="I41" s="147">
        <v>2.25</v>
      </c>
      <c r="J41" s="52">
        <v>2.25</v>
      </c>
      <c r="K41" s="146">
        <v>15501</v>
      </c>
      <c r="L41" s="146">
        <v>18500</v>
      </c>
      <c r="M41" s="75"/>
      <c r="N41" s="71" t="s">
        <v>71</v>
      </c>
      <c r="O41" s="72">
        <v>0</v>
      </c>
      <c r="P41" s="58" t="e">
        <f>+IF(#REF!="","",IF(AND(#REF!&gt;=N41,#REF!&lt;N42),O41,""))</f>
        <v>#REF!</v>
      </c>
      <c r="Q41" s="75"/>
      <c r="S41" s="78"/>
      <c r="T41" s="83"/>
      <c r="U41" s="83"/>
    </row>
    <row r="42" spans="2:21" x14ac:dyDescent="0.2">
      <c r="B42" s="227">
        <f t="shared" si="7"/>
        <v>299.8884784896</v>
      </c>
      <c r="C42" s="227">
        <f t="shared" si="3"/>
        <v>449.83271773440003</v>
      </c>
      <c r="D42" s="147">
        <v>10</v>
      </c>
      <c r="E42" s="147">
        <f t="shared" si="4"/>
        <v>1022.4443112548554</v>
      </c>
      <c r="F42" s="148" t="str">
        <f t="shared" si="5"/>
        <v/>
      </c>
      <c r="G42" s="149" t="str">
        <f t="shared" si="6"/>
        <v/>
      </c>
      <c r="H42" s="223">
        <v>0.5</v>
      </c>
      <c r="I42" s="147">
        <v>2.5</v>
      </c>
      <c r="J42" s="52">
        <v>2.5</v>
      </c>
      <c r="K42" s="146">
        <v>18501</v>
      </c>
      <c r="L42" s="146">
        <v>21500</v>
      </c>
      <c r="M42" s="75"/>
      <c r="Q42" s="75"/>
      <c r="S42" s="78"/>
      <c r="T42" s="83"/>
      <c r="U42" s="83"/>
    </row>
    <row r="43" spans="2:21" x14ac:dyDescent="0.2">
      <c r="B43" s="227">
        <f t="shared" si="7"/>
        <v>449.83271773440003</v>
      </c>
      <c r="C43" s="227">
        <f t="shared" si="3"/>
        <v>674.74907660160011</v>
      </c>
      <c r="D43" s="147">
        <v>10</v>
      </c>
      <c r="E43" s="147">
        <f t="shared" si="4"/>
        <v>1124.688742380341</v>
      </c>
      <c r="F43" s="148" t="str">
        <f t="shared" si="5"/>
        <v/>
      </c>
      <c r="G43" s="149" t="str">
        <f t="shared" si="6"/>
        <v/>
      </c>
      <c r="H43" s="223">
        <v>0.5</v>
      </c>
      <c r="I43" s="147">
        <v>2.75</v>
      </c>
      <c r="J43" s="52">
        <v>2.75</v>
      </c>
      <c r="K43" s="146">
        <v>21501</v>
      </c>
      <c r="L43" s="146">
        <v>25500</v>
      </c>
      <c r="M43" s="75"/>
      <c r="Q43" s="75"/>
      <c r="S43" s="78"/>
      <c r="T43" s="83"/>
      <c r="U43" s="83"/>
    </row>
    <row r="44" spans="2:21" x14ac:dyDescent="0.2">
      <c r="B44" s="227">
        <f t="shared" si="7"/>
        <v>674.74907660160011</v>
      </c>
      <c r="C44" s="227">
        <f t="shared" si="3"/>
        <v>1012.1236149024002</v>
      </c>
      <c r="D44" s="147">
        <v>10</v>
      </c>
      <c r="E44" s="147">
        <f t="shared" si="4"/>
        <v>1226.9331735058263</v>
      </c>
      <c r="F44" s="148" t="str">
        <f t="shared" si="5"/>
        <v/>
      </c>
      <c r="G44" s="149" t="str">
        <f t="shared" si="6"/>
        <v/>
      </c>
      <c r="H44" s="223">
        <v>0.5</v>
      </c>
      <c r="I44" s="147">
        <v>3</v>
      </c>
      <c r="J44" s="52">
        <v>3</v>
      </c>
      <c r="K44" s="146">
        <v>25501</v>
      </c>
      <c r="L44" s="146">
        <v>30500</v>
      </c>
      <c r="M44" s="75"/>
      <c r="Q44" s="75"/>
      <c r="S44" s="78"/>
      <c r="T44" s="83"/>
      <c r="U44" s="83"/>
    </row>
    <row r="45" spans="2:21" x14ac:dyDescent="0.2">
      <c r="B45" s="227">
        <f t="shared" si="7"/>
        <v>1012.1236149024002</v>
      </c>
      <c r="C45" s="227">
        <f t="shared" si="3"/>
        <v>1416.9730608633604</v>
      </c>
      <c r="D45" s="147">
        <v>10</v>
      </c>
      <c r="E45" s="147">
        <f t="shared" si="4"/>
        <v>1267.8309459560207</v>
      </c>
      <c r="F45" s="148" t="str">
        <f t="shared" si="5"/>
        <v/>
      </c>
      <c r="G45" s="149" t="str">
        <f t="shared" si="6"/>
        <v/>
      </c>
      <c r="H45" s="223">
        <v>0.4</v>
      </c>
      <c r="I45" s="147">
        <v>3.1</v>
      </c>
      <c r="J45" s="52">
        <v>3.1</v>
      </c>
      <c r="K45" s="146">
        <v>30501</v>
      </c>
      <c r="L45" s="146">
        <v>40000</v>
      </c>
      <c r="M45" s="75"/>
      <c r="N45" s="75"/>
      <c r="O45" s="75"/>
      <c r="P45" s="75"/>
      <c r="Q45" s="75"/>
      <c r="S45" s="78"/>
      <c r="T45" s="83"/>
      <c r="U45" s="83"/>
    </row>
    <row r="46" spans="2:21" x14ac:dyDescent="0.2">
      <c r="B46" s="227">
        <f t="shared" si="7"/>
        <v>1416.9730608633604</v>
      </c>
      <c r="C46" s="227">
        <f t="shared" si="3"/>
        <v>1842.0649791223684</v>
      </c>
      <c r="D46" s="147">
        <v>10</v>
      </c>
      <c r="E46" s="147">
        <f t="shared" si="4"/>
        <v>1329.1776046313119</v>
      </c>
      <c r="F46" s="148" t="str">
        <f t="shared" si="5"/>
        <v/>
      </c>
      <c r="G46" s="149" t="str">
        <f t="shared" si="6"/>
        <v/>
      </c>
      <c r="H46" s="223">
        <v>0.3</v>
      </c>
      <c r="I46" s="147">
        <v>3.25</v>
      </c>
      <c r="J46" s="52">
        <v>3.25</v>
      </c>
      <c r="K46" s="146">
        <v>40001</v>
      </c>
      <c r="L46" s="146">
        <v>50000</v>
      </c>
      <c r="M46" s="75"/>
      <c r="N46" s="75"/>
      <c r="O46" s="75"/>
      <c r="P46" s="75"/>
      <c r="Q46" s="75"/>
      <c r="S46" s="78"/>
      <c r="T46" s="83"/>
      <c r="U46" s="83"/>
    </row>
    <row r="47" spans="2:21" x14ac:dyDescent="0.2">
      <c r="B47" s="227">
        <f t="shared" si="7"/>
        <v>1842.0649791223684</v>
      </c>
      <c r="C47" s="227">
        <f t="shared" si="3"/>
        <v>2210.4779749468421</v>
      </c>
      <c r="D47" s="147">
        <v>10</v>
      </c>
      <c r="E47" s="147">
        <f t="shared" si="4"/>
        <v>1431.4220357567974</v>
      </c>
      <c r="F47" s="148" t="str">
        <f t="shared" si="5"/>
        <v/>
      </c>
      <c r="G47" s="149" t="str">
        <f t="shared" si="6"/>
        <v/>
      </c>
      <c r="H47" s="223">
        <v>0.2</v>
      </c>
      <c r="I47" s="147">
        <v>3.5</v>
      </c>
      <c r="J47" s="52">
        <v>3.5</v>
      </c>
      <c r="K47" s="146">
        <v>50001</v>
      </c>
      <c r="L47" s="146">
        <v>60000</v>
      </c>
      <c r="M47" s="75"/>
      <c r="N47" s="75"/>
      <c r="O47" s="75"/>
      <c r="P47" s="75"/>
      <c r="Q47" s="75"/>
      <c r="S47" s="78"/>
      <c r="T47" s="83"/>
      <c r="U47" s="83"/>
    </row>
    <row r="48" spans="2:21" x14ac:dyDescent="0.2">
      <c r="B48" s="227">
        <f t="shared" si="7"/>
        <v>2210.4779749468421</v>
      </c>
      <c r="C48" s="227">
        <f t="shared" si="3"/>
        <v>2431.5257724415264</v>
      </c>
      <c r="D48" s="147">
        <v>10</v>
      </c>
      <c r="E48" s="147">
        <f t="shared" si="4"/>
        <v>1533.666466882283</v>
      </c>
      <c r="F48" s="148" t="str">
        <f t="shared" si="5"/>
        <v/>
      </c>
      <c r="G48" s="149" t="str">
        <f t="shared" si="6"/>
        <v/>
      </c>
      <c r="H48" s="223">
        <v>0.1</v>
      </c>
      <c r="I48" s="147">
        <v>3.75</v>
      </c>
      <c r="J48" s="52">
        <v>3.75</v>
      </c>
      <c r="K48" s="146">
        <v>60001</v>
      </c>
      <c r="L48" s="146">
        <v>80000</v>
      </c>
      <c r="M48" s="75"/>
      <c r="N48" s="75"/>
      <c r="O48" s="75"/>
      <c r="P48" s="75"/>
      <c r="Q48" s="75"/>
      <c r="S48" s="78"/>
      <c r="T48" s="83"/>
      <c r="U48" s="83"/>
    </row>
    <row r="49" spans="2:21" x14ac:dyDescent="0.2">
      <c r="B49" s="227">
        <f t="shared" si="7"/>
        <v>2431.5257724415264</v>
      </c>
      <c r="C49" s="227">
        <f t="shared" si="3"/>
        <v>2674.6783496856792</v>
      </c>
      <c r="D49" s="147">
        <v>10</v>
      </c>
      <c r="E49" s="147">
        <f t="shared" si="4"/>
        <v>1635.9108980077685</v>
      </c>
      <c r="F49" s="148" t="str">
        <f t="shared" si="5"/>
        <v/>
      </c>
      <c r="G49" s="149" t="str">
        <f t="shared" si="6"/>
        <v/>
      </c>
      <c r="H49" s="223">
        <v>0.1</v>
      </c>
      <c r="I49" s="147">
        <v>4</v>
      </c>
      <c r="J49" s="52">
        <v>4</v>
      </c>
      <c r="K49" s="146">
        <v>80001</v>
      </c>
      <c r="L49" s="146">
        <v>100000</v>
      </c>
      <c r="M49" s="75"/>
      <c r="N49" s="75"/>
      <c r="O49" s="75"/>
      <c r="P49" s="75"/>
      <c r="Q49" s="75"/>
      <c r="S49" s="78"/>
      <c r="T49" s="83"/>
      <c r="U49" s="83"/>
    </row>
    <row r="50" spans="2:21" ht="13.5" thickBot="1" x14ac:dyDescent="0.25">
      <c r="B50" s="228">
        <f>+C49</f>
        <v>2674.6783496856792</v>
      </c>
      <c r="C50" s="228">
        <v>999999999999</v>
      </c>
      <c r="D50" s="151">
        <v>10</v>
      </c>
      <c r="E50" s="151">
        <f t="shared" si="4"/>
        <v>1676.8086704579625</v>
      </c>
      <c r="F50" s="152" t="str">
        <f>IF(AND((($C$55*80%)+(50%*$C$56))&gt;=B50,(($C$55*80%)+(50%*$C$56))&lt;C50),D50,"")</f>
        <v/>
      </c>
      <c r="G50" s="153" t="str">
        <f>IF(AND((($C$55*80%)+(50%*$C$56))&gt;=B50,(($C$55*80%)+(50%*$C$56))&lt;C50),E50,"")</f>
        <v/>
      </c>
      <c r="H50" s="223">
        <v>0.1</v>
      </c>
      <c r="I50" s="151">
        <v>4.0999999999999996</v>
      </c>
      <c r="J50" s="52">
        <v>4.0999999999999996</v>
      </c>
      <c r="K50" s="150">
        <v>100001</v>
      </c>
      <c r="L50" s="150">
        <v>999999999</v>
      </c>
      <c r="M50" s="87"/>
      <c r="N50" s="87"/>
      <c r="O50" s="75"/>
      <c r="P50" s="87"/>
      <c r="Q50" s="87"/>
      <c r="S50" s="78"/>
      <c r="T50" s="83"/>
      <c r="U50" s="83"/>
    </row>
    <row r="51" spans="2:21" x14ac:dyDescent="0.2">
      <c r="E51" s="87"/>
      <c r="F51" s="87"/>
      <c r="L51" s="87"/>
      <c r="M51" s="75"/>
      <c r="N51" s="75"/>
      <c r="O51" s="87"/>
      <c r="P51" s="87"/>
      <c r="Q51" s="87"/>
      <c r="S51" s="78"/>
      <c r="T51" s="83"/>
      <c r="U51" s="83"/>
    </row>
    <row r="52" spans="2:21" x14ac:dyDescent="0.2">
      <c r="E52" s="87"/>
      <c r="F52" s="87"/>
      <c r="M52" s="75"/>
      <c r="N52" s="75"/>
      <c r="O52" s="87"/>
      <c r="P52" s="87"/>
      <c r="Q52" s="87"/>
      <c r="S52" s="78"/>
      <c r="T52" s="83"/>
      <c r="U52" s="83"/>
    </row>
    <row r="53" spans="2:21" x14ac:dyDescent="0.2">
      <c r="B53" s="51" t="s">
        <v>72</v>
      </c>
      <c r="C53" s="51"/>
      <c r="D53" s="70"/>
    </row>
    <row r="54" spans="2:21" x14ac:dyDescent="0.2">
      <c r="B54" s="88" t="s">
        <v>88</v>
      </c>
      <c r="C54" s="188">
        <f>+Tabla!D15</f>
        <v>0</v>
      </c>
      <c r="D54" s="158" t="s">
        <v>96</v>
      </c>
      <c r="E54" s="158" t="s">
        <v>97</v>
      </c>
      <c r="F54" s="116"/>
      <c r="G54" s="116"/>
    </row>
    <row r="55" spans="2:21" x14ac:dyDescent="0.2">
      <c r="B55" s="88" t="s">
        <v>89</v>
      </c>
      <c r="C55" s="188">
        <f>+Tabla!D22</f>
        <v>0</v>
      </c>
      <c r="D55" s="159">
        <v>0.8</v>
      </c>
      <c r="E55" s="159">
        <v>0.5</v>
      </c>
      <c r="F55" s="116"/>
      <c r="G55" s="116"/>
    </row>
    <row r="56" spans="2:21" x14ac:dyDescent="0.2">
      <c r="B56" s="88" t="s">
        <v>91</v>
      </c>
      <c r="C56" s="188">
        <f>+Tabla!D23</f>
        <v>0</v>
      </c>
      <c r="D56" s="191">
        <f>+C55*D55</f>
        <v>0</v>
      </c>
      <c r="E56" s="191">
        <f>+C56*E55</f>
        <v>0</v>
      </c>
    </row>
    <row r="57" spans="2:21" x14ac:dyDescent="0.2">
      <c r="B57" s="88" t="s">
        <v>90</v>
      </c>
      <c r="C57" s="188">
        <f>+Tabla!D24</f>
        <v>0</v>
      </c>
      <c r="D57" s="140"/>
      <c r="F57" s="116"/>
      <c r="G57" s="116"/>
    </row>
    <row r="58" spans="2:21" x14ac:dyDescent="0.2">
      <c r="B58" s="88" t="s">
        <v>27</v>
      </c>
      <c r="C58" s="115" t="e">
        <f>+TI</f>
        <v>#N/A</v>
      </c>
      <c r="D58" s="158" t="s">
        <v>98</v>
      </c>
      <c r="F58" s="116"/>
      <c r="G58" s="116"/>
    </row>
    <row r="59" spans="2:21" x14ac:dyDescent="0.2">
      <c r="B59" s="89" t="s">
        <v>28</v>
      </c>
      <c r="C59" s="90" t="str">
        <f>+PM</f>
        <v/>
      </c>
      <c r="D59" s="157">
        <v>0.35</v>
      </c>
      <c r="F59" s="116"/>
      <c r="G59" s="116"/>
    </row>
    <row r="60" spans="2:21" x14ac:dyDescent="0.2">
      <c r="B60" s="89" t="s">
        <v>73</v>
      </c>
      <c r="C60" s="90">
        <f>+Tabla!D25</f>
        <v>0</v>
      </c>
      <c r="D60" s="157">
        <v>0.2</v>
      </c>
      <c r="F60" s="116"/>
      <c r="G60" s="116"/>
    </row>
    <row r="61" spans="2:21" x14ac:dyDescent="0.2">
      <c r="B61" s="118" t="s">
        <v>92</v>
      </c>
      <c r="C61" s="119">
        <f>+Tabla!D21</f>
        <v>0</v>
      </c>
      <c r="D61" s="155" t="str">
        <f>+IF(C61=0,"",IF(C61="Si",D59,D60))</f>
        <v/>
      </c>
      <c r="F61" s="116"/>
      <c r="G61" s="116"/>
    </row>
    <row r="62" spans="2:21" x14ac:dyDescent="0.2">
      <c r="B62" s="51" t="s">
        <v>74</v>
      </c>
      <c r="C62" s="51" t="s">
        <v>75</v>
      </c>
      <c r="D62" s="51" t="s">
        <v>76</v>
      </c>
      <c r="F62" s="116"/>
      <c r="G62" s="116"/>
    </row>
    <row r="63" spans="2:21" x14ac:dyDescent="0.2">
      <c r="B63" s="91" t="s">
        <v>5</v>
      </c>
      <c r="C63" s="117" t="e">
        <f>+C58</f>
        <v>#N/A</v>
      </c>
      <c r="D63" s="92"/>
      <c r="E63" s="156"/>
      <c r="F63" s="116"/>
      <c r="G63" s="116"/>
    </row>
    <row r="64" spans="2:21" x14ac:dyDescent="0.2">
      <c r="B64" s="91" t="s">
        <v>2</v>
      </c>
      <c r="C64" s="189">
        <f>SUM($F$34:$F$50)*$D$7</f>
        <v>0</v>
      </c>
      <c r="D64" s="93"/>
      <c r="E64" s="156"/>
      <c r="F64" s="116"/>
      <c r="G64" s="116"/>
    </row>
    <row r="65" spans="2:8" x14ac:dyDescent="0.2">
      <c r="B65" s="91" t="s">
        <v>4</v>
      </c>
      <c r="C65" s="94">
        <f>SUM($G$34:$G$50)</f>
        <v>0</v>
      </c>
      <c r="D65" s="94"/>
      <c r="E65" s="156"/>
      <c r="F65" s="116"/>
      <c r="G65" s="116"/>
    </row>
    <row r="66" spans="2:8" x14ac:dyDescent="0.2">
      <c r="B66" s="123" t="s">
        <v>0</v>
      </c>
      <c r="C66" s="190">
        <f>IF(ISERROR(D56+E56-C57-(1+C60)*C64*C65),"",D56+E56-C57-(1+C60)*C64*C65)</f>
        <v>0</v>
      </c>
      <c r="D66" s="190" t="str">
        <f>+IF(ISERROR(PV(C63/12,C59,-C66,0,0)),"",PV(C63/12,C59,-C66,0,0))</f>
        <v/>
      </c>
      <c r="E66" s="140"/>
      <c r="F66" s="116"/>
      <c r="G66" s="116"/>
      <c r="H66" s="154"/>
    </row>
    <row r="67" spans="2:8" x14ac:dyDescent="0.2">
      <c r="B67" s="91" t="s">
        <v>1</v>
      </c>
      <c r="C67" s="189">
        <f>+IF(C61=0,0,(D56+E56)*D61-C57)</f>
        <v>0</v>
      </c>
      <c r="D67" s="189" t="str">
        <f>IF(ISERROR(PV(C63/12,$C$59,-C67,0,0)),"",PV(C63/12,$C$59,-C67,0,0))</f>
        <v/>
      </c>
      <c r="F67" s="116"/>
      <c r="G67" s="116"/>
    </row>
    <row r="68" spans="2:8" x14ac:dyDescent="0.2">
      <c r="B68" s="91" t="s">
        <v>77</v>
      </c>
      <c r="C68" s="93"/>
      <c r="D68" s="189">
        <f>+C54</f>
        <v>0</v>
      </c>
      <c r="F68" s="116"/>
      <c r="G68" s="116"/>
    </row>
    <row r="69" spans="2:8" x14ac:dyDescent="0.2">
      <c r="B69" s="91" t="s">
        <v>78</v>
      </c>
      <c r="C69" s="189" t="e">
        <f>+PMT(C63/12,C59,-D69,0,0)</f>
        <v>#N/A</v>
      </c>
      <c r="D69" s="189">
        <f>+MIN(D66,D67,D68)</f>
        <v>0</v>
      </c>
      <c r="F69" s="116"/>
      <c r="G69" s="116"/>
    </row>
    <row r="70" spans="2:8" x14ac:dyDescent="0.2">
      <c r="B70" s="123" t="s">
        <v>26</v>
      </c>
      <c r="C70" s="124"/>
      <c r="D70" s="125" t="e">
        <f>+IF(AND((C55+C56)&lt;IMin,C61="No"),E9,IF(OR(D67&lt;=0,D66&lt;=0),"Capacidad de pago insuficiente",IF(AND(B27=B18,D69&lt;D68),"Máximo monto",IF(D69&lt;50,"Capacidad de pago insuficiente",IF(D69=C54,"Califica para el monto solicitado","Máximo monto")))))</f>
        <v>#N/A</v>
      </c>
      <c r="F70" s="116"/>
      <c r="G70" s="116"/>
      <c r="H70" s="141"/>
    </row>
    <row r="71" spans="2:8" x14ac:dyDescent="0.2">
      <c r="E71" s="156"/>
      <c r="F71" s="116"/>
      <c r="G71" s="116"/>
      <c r="H71" s="141"/>
    </row>
    <row r="72" spans="2:8" x14ac:dyDescent="0.2">
      <c r="E72" s="156"/>
      <c r="F72" s="116"/>
      <c r="G72" s="116"/>
      <c r="H72" s="140"/>
    </row>
    <row r="73" spans="2:8" x14ac:dyDescent="0.2">
      <c r="E73" s="156"/>
      <c r="F73" s="116"/>
      <c r="G73" s="116"/>
    </row>
    <row r="74" spans="2:8" ht="13.5" thickBot="1" x14ac:dyDescent="0.25">
      <c r="B74" s="51" t="s">
        <v>18</v>
      </c>
      <c r="C74" s="51" t="s">
        <v>101</v>
      </c>
      <c r="F74" s="116"/>
      <c r="G74" s="116"/>
    </row>
    <row r="75" spans="2:8" ht="13.5" thickBot="1" x14ac:dyDescent="0.25">
      <c r="B75" s="169" t="s">
        <v>93</v>
      </c>
      <c r="C75" s="171">
        <v>12</v>
      </c>
    </row>
    <row r="76" spans="2:8" ht="13.5" thickBot="1" x14ac:dyDescent="0.25">
      <c r="B76" s="169" t="s">
        <v>21</v>
      </c>
      <c r="C76" s="171">
        <v>12</v>
      </c>
    </row>
    <row r="77" spans="2:8" ht="13.5" thickBot="1" x14ac:dyDescent="0.25">
      <c r="B77" s="169" t="s">
        <v>112</v>
      </c>
      <c r="C77" s="171">
        <v>12</v>
      </c>
    </row>
    <row r="78" spans="2:8" ht="13.5" thickBot="1" x14ac:dyDescent="0.25">
      <c r="B78" s="169" t="s">
        <v>36</v>
      </c>
      <c r="C78" s="171">
        <v>12</v>
      </c>
    </row>
    <row r="79" spans="2:8" ht="13.5" thickBot="1" x14ac:dyDescent="0.25">
      <c r="B79" s="169" t="s">
        <v>81</v>
      </c>
      <c r="C79" s="171">
        <v>12</v>
      </c>
    </row>
    <row r="80" spans="2:8" ht="13.5" thickBot="1" x14ac:dyDescent="0.25">
      <c r="B80" s="169" t="s">
        <v>110</v>
      </c>
      <c r="C80" s="171">
        <v>12</v>
      </c>
    </row>
    <row r="81" spans="2:3" ht="13.5" thickBot="1" x14ac:dyDescent="0.25">
      <c r="B81" s="169" t="s">
        <v>57</v>
      </c>
      <c r="C81" s="171">
        <v>12</v>
      </c>
    </row>
    <row r="82" spans="2:3" x14ac:dyDescent="0.2">
      <c r="B82" s="170" t="s">
        <v>58</v>
      </c>
      <c r="C82" s="171">
        <v>12</v>
      </c>
    </row>
    <row r="83" spans="2:3" x14ac:dyDescent="0.2">
      <c r="B83" s="170" t="s">
        <v>58</v>
      </c>
      <c r="C83" s="172">
        <v>18</v>
      </c>
    </row>
    <row r="84" spans="2:3" x14ac:dyDescent="0.2">
      <c r="B84" s="170" t="s">
        <v>58</v>
      </c>
      <c r="C84" s="172">
        <v>24</v>
      </c>
    </row>
    <row r="85" spans="2:3" ht="13.5" thickBot="1" x14ac:dyDescent="0.25">
      <c r="B85" s="170" t="s">
        <v>58</v>
      </c>
      <c r="C85" s="172">
        <v>36</v>
      </c>
    </row>
    <row r="86" spans="2:3" x14ac:dyDescent="0.2">
      <c r="B86" s="169" t="s">
        <v>94</v>
      </c>
      <c r="C86" s="171">
        <v>12</v>
      </c>
    </row>
    <row r="87" spans="2:3" x14ac:dyDescent="0.2">
      <c r="B87" s="170" t="s">
        <v>94</v>
      </c>
      <c r="C87" s="172">
        <v>18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3"/>
  <sheetViews>
    <sheetView workbookViewId="0">
      <selection activeCell="A13" sqref="A13"/>
    </sheetView>
  </sheetViews>
  <sheetFormatPr baseColWidth="10" defaultRowHeight="12.75" x14ac:dyDescent="0.2"/>
  <sheetData>
    <row r="1" spans="1:1" x14ac:dyDescent="0.2">
      <c r="A1" t="s">
        <v>37</v>
      </c>
    </row>
    <row r="2" spans="1:1" x14ac:dyDescent="0.2">
      <c r="A2" t="s">
        <v>38</v>
      </c>
    </row>
    <row r="3" spans="1:1" x14ac:dyDescent="0.2">
      <c r="A3" t="s">
        <v>39</v>
      </c>
    </row>
    <row r="4" spans="1:1" x14ac:dyDescent="0.2">
      <c r="A4" t="s">
        <v>40</v>
      </c>
    </row>
    <row r="5" spans="1:1" x14ac:dyDescent="0.2">
      <c r="A5" t="s">
        <v>41</v>
      </c>
    </row>
    <row r="6" spans="1:1" x14ac:dyDescent="0.2">
      <c r="A6" t="s">
        <v>42</v>
      </c>
    </row>
    <row r="7" spans="1:1" x14ac:dyDescent="0.2">
      <c r="A7" t="s">
        <v>43</v>
      </c>
    </row>
    <row r="8" spans="1:1" x14ac:dyDescent="0.2">
      <c r="A8" t="s">
        <v>44</v>
      </c>
    </row>
    <row r="9" spans="1:1" x14ac:dyDescent="0.2">
      <c r="A9" t="s">
        <v>45</v>
      </c>
    </row>
    <row r="10" spans="1:1" x14ac:dyDescent="0.2">
      <c r="A10" t="s">
        <v>46</v>
      </c>
    </row>
    <row r="11" spans="1:1" x14ac:dyDescent="0.2">
      <c r="A11" t="s">
        <v>47</v>
      </c>
    </row>
    <row r="12" spans="1:1" x14ac:dyDescent="0.2">
      <c r="A12" t="s">
        <v>48</v>
      </c>
    </row>
    <row r="13" spans="1:1" x14ac:dyDescent="0.2">
      <c r="A1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Tabla</vt:lpstr>
      <vt:lpstr>Factor (2)</vt:lpstr>
      <vt:lpstr>Hoja2</vt:lpstr>
      <vt:lpstr>Alianza_Colegio_Integral_El_Ávila</vt:lpstr>
      <vt:lpstr>Tabla!Área_de_impresión</vt:lpstr>
      <vt:lpstr>Cliente</vt:lpstr>
      <vt:lpstr>Créditos_para_Participantes_del_IESA</vt:lpstr>
      <vt:lpstr>Forma</vt:lpstr>
      <vt:lpstr>IMax</vt:lpstr>
      <vt:lpstr>IMin</vt:lpstr>
      <vt:lpstr>Línea_Educativa_Bancaribe</vt:lpstr>
      <vt:lpstr>Línea_Musical_Bancaribe</vt:lpstr>
      <vt:lpstr>Línea_Nómina</vt:lpstr>
      <vt:lpstr>Línea_Nueva_Vida</vt:lpstr>
      <vt:lpstr>Línea_Nueva_Vida_Unifertes</vt:lpstr>
      <vt:lpstr>Línea_Personal_Alianza</vt:lpstr>
      <vt:lpstr>Línea_Personal_Bancaribe</vt:lpstr>
      <vt:lpstr>LN</vt:lpstr>
      <vt:lpstr>MMax</vt:lpstr>
      <vt:lpstr>MMin</vt:lpstr>
      <vt:lpstr>Modalidad</vt:lpstr>
      <vt:lpstr>MontoMAx</vt:lpstr>
      <vt:lpstr>MontoMin</vt:lpstr>
      <vt:lpstr>Plazo</vt:lpstr>
      <vt:lpstr>PM</vt:lpstr>
      <vt:lpstr>SM</vt:lpstr>
      <vt:lpstr>Subsidio</vt:lpstr>
      <vt:lpstr>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Rojas, Johana.</cp:lastModifiedBy>
  <cp:lastPrinted>2014-11-26T14:23:55Z</cp:lastPrinted>
  <dcterms:created xsi:type="dcterms:W3CDTF">2014-04-30T19:54:20Z</dcterms:created>
  <dcterms:modified xsi:type="dcterms:W3CDTF">2018-08-17T19:17:09Z</dcterms:modified>
</cp:coreProperties>
</file>