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48. Nuevos lineamientos de los simuladores\"/>
    </mc:Choice>
  </mc:AlternateContent>
  <workbookProtection workbookPassword="CB1F" lockStructure="1"/>
  <bookViews>
    <workbookView showSheetTabs="0" xWindow="0" yWindow="0" windowWidth="15480" windowHeight="10995" tabRatio="745"/>
  </bookViews>
  <sheets>
    <sheet name="Tabla" sheetId="2" r:id="rId1"/>
    <sheet name="Factor (2)" sheetId="8" state="hidden" r:id="rId2"/>
    <sheet name="Hoja2" sheetId="7" state="hidden" r:id="rId3"/>
  </sheets>
  <externalReferences>
    <externalReference r:id="rId4"/>
  </externalReferences>
  <definedNames>
    <definedName name="Alianza_Colegio_Integral_El_Ávila">'Factor (2)'!$C$77:$C$77</definedName>
    <definedName name="_xlnm.Print_Area" localSheetId="0">Tabla!$A$1:$H$78</definedName>
    <definedName name="Cliente">'Factor (2)'!$G$2:$G$3</definedName>
    <definedName name="Créditos_para_Participantes_del_IESA">'Factor (2)'!$C$82:$C$85</definedName>
    <definedName name="Forma">'Factor (2)'!$J$2:$J$3</definedName>
    <definedName name="IMax">'Factor (2)'!$F$27</definedName>
    <definedName name="IMin">'Factor (2)'!$E$27</definedName>
    <definedName name="Línea_Educativa_Bancaribe">'Factor (2)'!$C$81:$C$81</definedName>
    <definedName name="Línea_Musical_Bancaribe">'Factor (2)'!$C$86:$C$87</definedName>
    <definedName name="Línea_Nómina">'Factor (2)'!$C$78:$C$78</definedName>
    <definedName name="Línea_Nueva_Vida">'Factor (2)'!$C$79:$C$79</definedName>
    <definedName name="Línea_Nueva_Vida_Unifertes">'Factor (2)'!$C$80:$C$80</definedName>
    <definedName name="Línea_Personal_Alianza">'Factor (2)'!$C$76:$C$76</definedName>
    <definedName name="Línea_Personal_Bancaribe">'Factor (2)'!$C$75:$C$75</definedName>
    <definedName name="LN">'Factor (2)'!$G$2</definedName>
    <definedName name="MMax">'Factor (2)'!$H$27</definedName>
    <definedName name="MMin">'Factor (2)'!$G$27</definedName>
    <definedName name="Modalidad">'Factor (2)'!$B$14:$B$22</definedName>
    <definedName name="MontoMAx">'Factor (2)'!$H$14:$H$22</definedName>
    <definedName name="MontoMin">'Factor (2)'!$G$14:$G$22</definedName>
    <definedName name="Plazo">'Factor (2)'!$L$2:$L$5</definedName>
    <definedName name="PM">'Factor (2)'!$D$27</definedName>
    <definedName name="SM">'Factor (2)'!$D$6</definedName>
    <definedName name="SM_3">'Factor (2)'!#REF!</definedName>
    <definedName name="Smax">'Factor (2)'!#REF!</definedName>
    <definedName name="Subsidio">'Factor (2)'!$G$2:$G$3</definedName>
    <definedName name="TI">'Factor (2)'!$C$27</definedName>
  </definedNames>
  <calcPr calcId="152511"/>
</workbook>
</file>

<file path=xl/calcChain.xml><?xml version="1.0" encoding="utf-8"?>
<calcChain xmlns="http://schemas.openxmlformats.org/spreadsheetml/2006/main">
  <c r="J21" i="8" l="1"/>
  <c r="J20" i="8"/>
  <c r="J19" i="8"/>
  <c r="J18" i="8"/>
  <c r="J17" i="8"/>
  <c r="J16" i="8"/>
  <c r="J15" i="8"/>
  <c r="J14" i="8"/>
  <c r="D16" i="2"/>
  <c r="I19" i="8" l="1"/>
  <c r="I18" i="8" l="1"/>
  <c r="I17" i="8"/>
  <c r="I16" i="8"/>
  <c r="I15" i="8"/>
  <c r="I14" i="8"/>
  <c r="I20" i="8"/>
  <c r="I21" i="8"/>
  <c r="I22" i="8" l="1"/>
  <c r="B34" i="8" l="1"/>
  <c r="C34" i="8" s="1"/>
  <c r="B2" i="8" l="1"/>
  <c r="D8" i="8" l="1"/>
  <c r="B27" i="8"/>
  <c r="H27" i="8" s="1"/>
  <c r="D28" i="8"/>
  <c r="D27" i="8" s="1"/>
  <c r="C59" i="8" s="1"/>
  <c r="C17" i="2"/>
  <c r="B35" i="8"/>
  <c r="C35" i="8" s="1"/>
  <c r="B36" i="8" s="1"/>
  <c r="C36" i="8" s="1"/>
  <c r="B37" i="8" s="1"/>
  <c r="C37" i="8" s="1"/>
  <c r="B38" i="8" s="1"/>
  <c r="C38" i="8" s="1"/>
  <c r="B39" i="8" s="1"/>
  <c r="C39" i="8" s="1"/>
  <c r="B40" i="8" s="1"/>
  <c r="C40" i="8" s="1"/>
  <c r="B41" i="8" s="1"/>
  <c r="C41" i="8" s="1"/>
  <c r="B42" i="8" s="1"/>
  <c r="C42" i="8" s="1"/>
  <c r="B43" i="8" s="1"/>
  <c r="C43" i="8" s="1"/>
  <c r="B44" i="8" s="1"/>
  <c r="C44" i="8" s="1"/>
  <c r="B45" i="8" s="1"/>
  <c r="C45" i="8" s="1"/>
  <c r="B46" i="8" s="1"/>
  <c r="C46" i="8" s="1"/>
  <c r="B47" i="8" s="1"/>
  <c r="C47" i="8" s="1"/>
  <c r="B48" i="8" s="1"/>
  <c r="C48" i="8" s="1"/>
  <c r="B49" i="8" s="1"/>
  <c r="C49" i="8" s="1"/>
  <c r="B50" i="8" s="1"/>
  <c r="D35" i="2"/>
  <c r="E9" i="8"/>
  <c r="C61" i="8"/>
  <c r="C56" i="8"/>
  <c r="C55" i="8"/>
  <c r="C60" i="8"/>
  <c r="C57" i="8"/>
  <c r="C54" i="8"/>
  <c r="D68" i="8" s="1"/>
  <c r="D29" i="8"/>
  <c r="C29" i="8"/>
  <c r="C6" i="8"/>
  <c r="C9" i="8" s="1"/>
  <c r="E17" i="2"/>
  <c r="P2" i="8"/>
  <c r="P28" i="8"/>
  <c r="P5" i="8"/>
  <c r="P3" i="8"/>
  <c r="P40" i="8"/>
  <c r="P31" i="8"/>
  <c r="P37" i="8"/>
  <c r="P32" i="8"/>
  <c r="P12" i="8"/>
  <c r="P29" i="8"/>
  <c r="P4" i="8"/>
  <c r="P33" i="8"/>
  <c r="P38" i="8"/>
  <c r="P27" i="8"/>
  <c r="P6" i="8"/>
  <c r="P7" i="8"/>
  <c r="P35" i="8"/>
  <c r="P39" i="8"/>
  <c r="P26" i="8"/>
  <c r="P36" i="8"/>
  <c r="P41" i="8"/>
  <c r="P30" i="8"/>
  <c r="P34" i="8"/>
  <c r="D61" i="8" l="1"/>
  <c r="D56" i="8"/>
  <c r="F44" i="8"/>
  <c r="E22" i="8"/>
  <c r="J22" i="8" s="1"/>
  <c r="F37" i="8"/>
  <c r="E56" i="8"/>
  <c r="G36" i="8"/>
  <c r="G49" i="8"/>
  <c r="G42" i="8"/>
  <c r="G37" i="8"/>
  <c r="G39" i="8"/>
  <c r="F42" i="8"/>
  <c r="G41" i="8"/>
  <c r="G43" i="8"/>
  <c r="G50" i="8"/>
  <c r="G45" i="8"/>
  <c r="F50" i="8"/>
  <c r="G38" i="8"/>
  <c r="G47" i="8"/>
  <c r="F41" i="8"/>
  <c r="F48" i="8"/>
  <c r="G35" i="8"/>
  <c r="F36" i="8"/>
  <c r="G44" i="8"/>
  <c r="F47" i="8"/>
  <c r="F40" i="8"/>
  <c r="F34" i="8"/>
  <c r="G46" i="8"/>
  <c r="G34" i="8"/>
  <c r="F39" i="8"/>
  <c r="F38" i="8"/>
  <c r="F45" i="8"/>
  <c r="G48" i="8"/>
  <c r="F35" i="8"/>
  <c r="F46" i="8"/>
  <c r="F43" i="8"/>
  <c r="F49" i="8"/>
  <c r="G40" i="8"/>
  <c r="G27" i="8"/>
  <c r="I27" i="8"/>
  <c r="B15" i="2" s="1"/>
  <c r="F27" i="8"/>
  <c r="C28" i="8"/>
  <c r="C27" i="8" s="1"/>
  <c r="C7" i="8"/>
  <c r="C8" i="8"/>
  <c r="C67" i="8" l="1"/>
  <c r="D28" i="2" s="1"/>
  <c r="E27" i="8"/>
  <c r="C65" i="8"/>
  <c r="C64" i="8"/>
  <c r="C58" i="8"/>
  <c r="C63" i="8" s="1"/>
  <c r="J27" i="8" l="1"/>
  <c r="B22" i="2" s="1"/>
  <c r="C66" i="8"/>
  <c r="D27" i="2" s="1"/>
  <c r="D67" i="8"/>
  <c r="D66" i="8" l="1"/>
  <c r="D69" i="8" l="1"/>
  <c r="D70" i="8" s="1"/>
  <c r="C69" i="8" l="1"/>
  <c r="B30" i="2"/>
  <c r="D30" i="2" s="1"/>
  <c r="B32" i="2" l="1"/>
  <c r="D32" i="2"/>
  <c r="B34" i="2"/>
  <c r="G30" i="2" l="1"/>
  <c r="D34" i="2"/>
</calcChain>
</file>

<file path=xl/comments1.xml><?xml version="1.0" encoding="utf-8"?>
<comments xmlns="http://schemas.openxmlformats.org/spreadsheetml/2006/main">
  <authors>
    <author>bc213293</author>
    <author>bc24260</author>
  </authors>
  <commentList>
    <comment ref="D17" authorId="0" shapeId="0">
      <text>
        <r>
          <rPr>
            <sz val="8"/>
            <color indexed="81"/>
            <rFont val="Tahoma"/>
            <family val="2"/>
          </rPr>
          <t>En este campo se puede colocar una tasa de interés en promoción inferior a la fija.</t>
        </r>
      </text>
    </comment>
    <comment ref="D19" authorId="1" shapeId="0">
      <text>
        <r>
          <rPr>
            <sz val="10"/>
            <color indexed="81"/>
            <rFont val="Tahoma"/>
            <family val="2"/>
          </rPr>
          <t>En este campo se puede colocar un plazo inferior al máximo.</t>
        </r>
      </text>
    </comment>
    <comment ref="D21" authorId="1" shapeId="0">
      <text>
        <r>
          <rPr>
            <sz val="10"/>
            <color indexed="81"/>
            <rFont val="Tahoma"/>
            <family val="2"/>
          </rPr>
          <t>Cliente Bancaribe: se refiere a, si el cliente tiene algún producto financiero con Bancaribe.</t>
        </r>
      </text>
    </comment>
    <comment ref="D22" authorId="1" shapeId="0">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3" authorId="1" shapeId="0">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1" shapeId="0">
      <text>
        <r>
          <rPr>
            <sz val="10"/>
            <color indexed="81"/>
            <rFont val="Tahoma"/>
            <family val="2"/>
          </rPr>
          <t>Se considera gasto fianciero el valor de las cuotas que mensualmente son canceladas por el cliente por concepto de deudas financieras contraídas.</t>
        </r>
      </text>
    </comment>
    <comment ref="D25" authorId="1" shapeId="0">
      <text>
        <r>
          <rPr>
            <sz val="10"/>
            <color indexed="81"/>
            <rFont val="Tahoma"/>
            <family val="2"/>
          </rPr>
          <t>Son todas las personas que dependen económicamente del cliente y que son declaradas en la solicitud de crédito.</t>
        </r>
      </text>
    </comment>
    <comment ref="D26" authorId="1" shapeId="0">
      <text>
        <r>
          <rPr>
            <sz val="10"/>
            <color indexed="81"/>
            <rFont val="Tahoma"/>
            <family val="2"/>
          </rPr>
          <t xml:space="preserve">Experiencia crediticia bancaria previa: considera si el cliente tiene o ha tenia créditos en Bancaribe o en cualquier otra entidad financiera. </t>
        </r>
      </text>
    </comment>
    <comment ref="D30" authorId="1" shapeId="0">
      <text>
        <r>
          <rPr>
            <sz val="10"/>
            <color indexed="81"/>
            <rFont val="Tahoma"/>
            <family val="2"/>
          </rPr>
          <t>En este campo se muestra el monto estimado del crédito (en Bolívares) al que podría optar el cliente.</t>
        </r>
      </text>
    </comment>
    <comment ref="D32" authorId="1" shapeId="0">
      <text>
        <r>
          <rPr>
            <sz val="10"/>
            <color indexed="81"/>
            <rFont val="Tahoma"/>
            <family val="2"/>
          </rPr>
          <t>En este campo se muestra la cuota estimada mensual  correspondiente al monto del crédito (en Bolívares) al que podría optar el cliente.</t>
        </r>
      </text>
    </comment>
    <comment ref="D34" authorId="1" shapeId="0">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s>
  <commentList>
    <comment ref="P1" authorId="0" shapeId="0">
      <text>
        <r>
          <rPr>
            <sz val="8"/>
            <color indexed="81"/>
            <rFont val="Tahoma"/>
            <family val="2"/>
          </rPr>
          <t xml:space="preserve">Se cambia cuando salga en gaceta
</t>
        </r>
      </text>
    </comment>
    <comment ref="D6" authorId="0" shapeId="0">
      <text>
        <r>
          <rPr>
            <sz val="8"/>
            <color indexed="81"/>
            <rFont val="Arial"/>
            <family val="2"/>
          </rPr>
          <t>Cambiar cada vez salga publicado en Gaceta.</t>
        </r>
      </text>
    </comment>
    <comment ref="D7" authorId="0" shapeId="0">
      <text>
        <r>
          <rPr>
            <sz val="8"/>
            <color indexed="81"/>
            <rFont val="Arial"/>
            <family val="2"/>
          </rPr>
          <t>Cambiar cada vez que salga en Gaceta.</t>
        </r>
      </text>
    </comment>
    <comment ref="C19" authorId="0" shapeId="0">
      <text>
        <r>
          <rPr>
            <b/>
            <sz val="8"/>
            <color indexed="81"/>
            <rFont val="Tahoma"/>
            <family val="2"/>
          </rPr>
          <t>Hastes de 230615 era a 22%</t>
        </r>
        <r>
          <rPr>
            <sz val="8"/>
            <color indexed="81"/>
            <rFont val="Tahoma"/>
            <family val="2"/>
          </rPr>
          <t xml:space="preserve">
</t>
        </r>
      </text>
    </comment>
    <comment ref="B32" authorId="0" shapeId="0">
      <text>
        <r>
          <rPr>
            <sz val="8"/>
            <color indexed="81"/>
            <rFont val="Tahoma"/>
            <family val="2"/>
          </rPr>
          <t>Cuando se pida cambio</t>
        </r>
      </text>
    </comment>
  </commentList>
</comments>
</file>

<file path=xl/sharedStrings.xml><?xml version="1.0" encoding="utf-8"?>
<sst xmlns="http://schemas.openxmlformats.org/spreadsheetml/2006/main" count="147" uniqueCount="115">
  <si>
    <t>Capacidad de Pago</t>
  </si>
  <si>
    <t>CMSDM</t>
  </si>
  <si>
    <t>Fact UT</t>
  </si>
  <si>
    <t>UT</t>
  </si>
  <si>
    <t>FactAju</t>
  </si>
  <si>
    <t>Fact Tasa</t>
  </si>
  <si>
    <t>Salario mínimo (Sm)</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</si>
  <si>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</si>
  <si>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</si>
  <si>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</si>
  <si>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</si>
  <si>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</si>
  <si>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</si>
  <si>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</si>
  <si>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</si>
  <si>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</si>
  <si>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</si>
  <si>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</si>
  <si>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</si>
  <si>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</si>
  <si>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</si>
  <si>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</si>
  <si>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</si>
  <si>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</si>
  <si>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</si>
  <si>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</si>
  <si>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</si>
  <si>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</si>
  <si>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</si>
  <si>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</si>
  <si>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</si>
  <si>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</si>
  <si>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</si>
  <si>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</si>
  <si>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</si>
  <si>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</si>
  <si>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</si>
  <si>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</si>
  <si>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</si>
  <si>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</si>
  <si>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</si>
  <si>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</si>
  <si>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</si>
  <si>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</si>
  <si>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</si>
  <si>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</si>
  <si>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</si>
  <si>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</si>
  <si>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</si>
  <si>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</si>
  <si>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</si>
  <si>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</si>
  <si>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</si>
  <si>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</si>
  <si>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</si>
  <si>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</si>
  <si>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</si>
  <si>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</si>
  <si>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</si>
  <si>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</si>
  <si>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</si>
  <si>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</si>
  <si>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</si>
  <si>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</si>
  <si>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</si>
  <si>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</si>
  <si>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</si>
  <si>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</si>
  <si>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</si>
  <si>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</si>
  <si>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</si>
  <si>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</si>
  <si>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</si>
  <si>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</si>
  <si>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</si>
  <si>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</si>
  <si>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</si>
  <si>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</si>
  <si>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</si>
  <si>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</si>
  <si>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</si>
  <si>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</si>
  <si>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</si>
  <si>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</si>
  <si>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</si>
  <si>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</si>
  <si>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</si>
  <si>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</si>
  <si>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</si>
  <si>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</si>
  <si>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</si>
  <si>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</si>
  <si>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</si>
  <si>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</si>
  <si>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</si>
  <si>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</si>
  <si>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</si>
  <si>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</si>
  <si>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</si>
  <si>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</si>
  <si>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</si>
  <si>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</si>
  <si>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</si>
  <si>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</si>
  <si>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</si>
  <si>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</si>
  <si>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</si>
  <si>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</si>
  <si>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</si>
  <si>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</si>
  <si>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</si>
  <si>
    <t>Línea Nueva Vida "Unifertes"</t>
  </si>
  <si>
    <t>Línea_Nueva_Vida_Unifertes</t>
  </si>
  <si>
    <t>Alianza Colegio Integral El Ávila</t>
  </si>
  <si>
    <t>Alianza_Colegio_Integral_El_Ávila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</si>
</sst>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quot;Bs&quot;\ #,##0.00;[Red]&quot;Bs&quot;\ \-#,##0.00"/>
    <numFmt numFmtId="165" formatCode="_(* #,##0_);_(* \(#,##0\);_(* &quot;-&quot;_);_(@_)"/>
    <numFmt numFmtId="166" formatCode="_(* #,##0.00_);_(* \(#,##0.00\);_(* &quot;-&quot;??_);_(@_)"/>
    <numFmt numFmtId="167" formatCode="&quot;Bs&quot;\ #,##0.00_);\(&quot;Bs&quot;\ #,##0.00\)"/>
    <numFmt numFmtId="168" formatCode="&quot;Bs&quot;\ #,##0.00_);[Red]\(&quot;Bs&quot;\ #,##0.00\)"/>
    <numFmt numFmtId="169" formatCode="[$-F800]dddd\,\ mmmm\ dd\,\ yyyy"/>
    <numFmt numFmtId="170" formatCode="&quot;Bs&quot;\ #,##0.00"/>
    <numFmt numFmtId="171" formatCode="0.0"/>
    <numFmt numFmtId="172" formatCode="0.0000"/>
    <numFmt numFmtId="173" formatCode="#,##0.0000"/>
    <numFmt numFmtId="174" formatCode="&quot;Bs&quot;\ #,##0"/>
    <numFmt numFmtId="175" formatCode="#,##0.00_ ;[Red]\-#,##0.00\ "/>
  </numFmts>
  <fonts count="50"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
      <sz val="10"/>
      <color rgb="FFFF0000"/>
      <name val="Arial"/>
      <family val="2"/>
    </font>
    <font>
      <b/>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6" fontId="1" fillId="0" borderId="0" applyFont="0" applyFill="0" applyBorder="0" applyAlignment="0" applyProtection="0"/>
    <xf numFmtId="0" fontId="1" fillId="0" borderId="0"/>
    <xf numFmtId="9" fontId="1" fillId="0" borderId="0" applyFont="0" applyFill="0" applyBorder="0" applyAlignment="0" applyProtection="0"/>
  </cellStyleXfs>
  <cellXfs count="222">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8"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8"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70"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67" fontId="20" fillId="2" borderId="2" xfId="1" applyNumberFormat="1" applyFont="1" applyFill="1" applyBorder="1" applyAlignment="1" applyProtection="1">
      <alignment horizontal="right" vertical="center"/>
      <protection locked="0"/>
    </xf>
    <xf numFmtId="167" fontId="20" fillId="2" borderId="1" xfId="1" applyNumberFormat="1" applyFont="1" applyFill="1" applyBorder="1" applyAlignment="1" applyProtection="1">
      <alignment horizontal="right" vertical="center"/>
      <protection hidden="1"/>
    </xf>
    <xf numFmtId="170"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5"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9"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70"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170" fontId="20" fillId="2" borderId="1" xfId="3" applyNumberFormat="1" applyFont="1" applyFill="1" applyBorder="1" applyAlignment="1" applyProtection="1">
      <alignment horizontal="right" vertical="center" wrapText="1"/>
      <protection locked="0"/>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0" fontId="2" fillId="5" borderId="11" xfId="1" applyNumberFormat="1" applyFont="1" applyFill="1" applyBorder="1" applyAlignment="1" applyProtection="1">
      <alignment horizontal="left"/>
      <protection hidden="1"/>
    </xf>
    <xf numFmtId="14" fontId="1" fillId="5" borderId="11" xfId="1" applyNumberFormat="1" applyFont="1" applyFill="1" applyBorder="1" applyAlignment="1" applyProtection="1">
      <alignment horizontal="center"/>
      <protection hidden="1"/>
    </xf>
    <xf numFmtId="170" fontId="1" fillId="5" borderId="11" xfId="1" applyNumberFormat="1" applyFont="1" applyFill="1" applyBorder="1" applyAlignment="1" applyProtection="1">
      <alignment horizontal="center"/>
      <protection hidden="1"/>
    </xf>
    <xf numFmtId="170"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70"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7" fontId="1" fillId="0" borderId="11" xfId="2" applyNumberFormat="1" applyFont="1" applyBorder="1" applyAlignment="1" applyProtection="1">
      <alignment horizontal="center"/>
      <protection hidden="1"/>
    </xf>
    <xf numFmtId="166"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6" fontId="1" fillId="0" borderId="0" xfId="1" applyFont="1" applyAlignment="1" applyProtection="1">
      <alignment horizontal="center"/>
      <protection hidden="1"/>
    </xf>
    <xf numFmtId="166" fontId="1" fillId="0" borderId="0" xfId="1" applyFont="1" applyProtection="1">
      <protection hidden="1"/>
    </xf>
    <xf numFmtId="10" fontId="1" fillId="5" borderId="0" xfId="1" applyNumberFormat="1" applyFont="1" applyFill="1" applyAlignment="1" applyProtection="1">
      <protection hidden="1"/>
    </xf>
    <xf numFmtId="167" fontId="1" fillId="0" borderId="0" xfId="2" applyNumberFormat="1" applyFont="1" applyFill="1" applyProtection="1">
      <protection hidden="1"/>
    </xf>
    <xf numFmtId="0" fontId="1" fillId="0" borderId="0" xfId="2" applyFont="1" applyFill="1" applyProtection="1">
      <protection hidden="1"/>
    </xf>
    <xf numFmtId="166" fontId="2" fillId="4" borderId="0" xfId="1" applyFont="1" applyFill="1" applyAlignment="1" applyProtection="1">
      <alignment horizontal="center"/>
      <protection hidden="1"/>
    </xf>
    <xf numFmtId="166" fontId="26" fillId="4" borderId="0" xfId="1" applyFont="1" applyFill="1" applyAlignment="1" applyProtection="1">
      <alignment horizontal="center"/>
      <protection hidden="1"/>
    </xf>
    <xf numFmtId="172"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1" fontId="1" fillId="0" borderId="0" xfId="2" applyNumberFormat="1" applyFont="1" applyFill="1" applyProtection="1">
      <protection hidden="1"/>
    </xf>
    <xf numFmtId="166" fontId="1" fillId="0" borderId="0" xfId="1" applyFont="1" applyFill="1" applyProtection="1">
      <protection hidden="1"/>
    </xf>
    <xf numFmtId="0" fontId="1" fillId="0" borderId="0" xfId="2" applyFont="1" applyFill="1" applyAlignment="1" applyProtection="1">
      <alignment horizontal="right"/>
      <protection hidden="1"/>
    </xf>
    <xf numFmtId="166" fontId="3" fillId="0" borderId="0" xfId="1" applyFont="1" applyProtection="1">
      <protection hidden="1"/>
    </xf>
    <xf numFmtId="167"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6" fontId="2" fillId="0" borderId="13" xfId="1" applyFont="1" applyFill="1" applyBorder="1" applyAlignment="1" applyProtection="1">
      <protection hidden="1"/>
    </xf>
    <xf numFmtId="173" fontId="1" fillId="0" borderId="13" xfId="2" applyNumberFormat="1" applyFont="1" applyBorder="1" applyAlignment="1" applyProtection="1">
      <alignment horizontal="center"/>
      <protection hidden="1"/>
    </xf>
    <xf numFmtId="167"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70"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70"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70" fontId="1" fillId="0" borderId="11" xfId="3" applyNumberFormat="1" applyFont="1" applyFill="1" applyBorder="1" applyAlignment="1" applyProtection="1">
      <alignment horizontal="center" vertical="center"/>
      <protection hidden="1"/>
    </xf>
    <xf numFmtId="170" fontId="1" fillId="0" borderId="11" xfId="1" applyNumberFormat="1" applyFont="1" applyFill="1" applyBorder="1" applyAlignment="1" applyProtection="1">
      <alignment horizontal="center" vertical="center"/>
      <protection hidden="1"/>
    </xf>
    <xf numFmtId="174"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6" fontId="26" fillId="0" borderId="0" xfId="1" applyFont="1" applyFill="1" applyBorder="1" applyAlignment="1" applyProtection="1">
      <alignment horizontal="center"/>
      <protection hidden="1"/>
    </xf>
    <xf numFmtId="166" fontId="2" fillId="0" borderId="0" xfId="1" applyNumberFormat="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7"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70" fontId="1" fillId="5" borderId="16" xfId="1" applyNumberFormat="1" applyFont="1" applyFill="1" applyBorder="1" applyAlignment="1" applyProtection="1">
      <alignment horizontal="center"/>
      <protection hidden="1"/>
    </xf>
    <xf numFmtId="166" fontId="2" fillId="0" borderId="13" xfId="1" applyFont="1" applyFill="1" applyBorder="1" applyAlignment="1" applyProtection="1">
      <alignment vertical="center"/>
      <protection hidden="1"/>
    </xf>
    <xf numFmtId="167" fontId="1" fillId="0" borderId="13" xfId="2" applyNumberFormat="1" applyFont="1" applyBorder="1" applyAlignment="1" applyProtection="1">
      <alignment horizontal="center" vertical="center"/>
      <protection hidden="1"/>
    </xf>
    <xf numFmtId="167"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164" fontId="1" fillId="0" borderId="0" xfId="2" applyNumberFormat="1" applyFont="1" applyProtection="1">
      <protection hidden="1"/>
    </xf>
    <xf numFmtId="43" fontId="1" fillId="0" borderId="0" xfId="2" applyNumberFormat="1" applyFont="1" applyProtection="1">
      <protection hidden="1"/>
    </xf>
    <xf numFmtId="170"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70"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70"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164" fontId="1" fillId="0" borderId="0" xfId="2" applyNumberFormat="1" applyFont="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5" fontId="1" fillId="5" borderId="0" xfId="2" applyNumberFormat="1" applyFont="1" applyFill="1" applyAlignment="1" applyProtection="1">
      <alignment horizontal="center"/>
      <protection hidden="1"/>
    </xf>
    <xf numFmtId="164"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70"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48" fillId="0" borderId="0" xfId="2" applyFont="1" applyProtection="1">
      <protection hidden="1"/>
    </xf>
    <xf numFmtId="4" fontId="20" fillId="2" borderId="1" xfId="1" applyNumberFormat="1" applyFont="1" applyFill="1" applyBorder="1" applyAlignment="1" applyProtection="1">
      <alignment horizontal="right" vertical="center"/>
      <protection locked="0"/>
    </xf>
    <xf numFmtId="0" fontId="49" fillId="0" borderId="0" xfId="0" applyFont="1" applyFill="1" applyAlignment="1" applyProtection="1">
      <alignment vertical="center"/>
      <protection hidden="1"/>
    </xf>
    <xf numFmtId="0" fontId="48" fillId="0" borderId="0" xfId="0" applyFont="1" applyAlignment="1" applyProtection="1">
      <alignment horizontal="left" vertical="center" wrapText="1"/>
      <protection hidden="1"/>
    </xf>
    <xf numFmtId="170" fontId="42" fillId="2" borderId="1" xfId="0" applyNumberFormat="1" applyFont="1" applyFill="1" applyBorder="1" applyAlignment="1" applyProtection="1">
      <alignment horizontal="center" vertical="center" wrapText="1"/>
      <protection hidden="1"/>
    </xf>
    <xf numFmtId="1" fontId="1" fillId="0" borderId="0" xfId="2" applyNumberFormat="1" applyFont="1" applyAlignment="1" applyProtection="1">
      <alignment horizontal="center"/>
      <protection hidden="1"/>
    </xf>
    <xf numFmtId="170" fontId="1" fillId="0" borderId="17" xfId="1" applyNumberFormat="1" applyFont="1" applyFill="1" applyBorder="1" applyAlignment="1" applyProtection="1">
      <alignment horizontal="center"/>
      <protection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2" xfId="0" applyFont="1" applyBorder="1" applyAlignment="1" applyProtection="1">
      <alignment horizontal="center" vertical="center"/>
      <protection locked="0" hidden="1"/>
    </xf>
    <xf numFmtId="3" fontId="43" fillId="0" borderId="22"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1" xfId="0" applyFont="1" applyBorder="1" applyAlignment="1" applyProtection="1">
      <alignment horizontal="center" vertical="center"/>
      <protection locked="0"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2" xfId="0" applyFont="1" applyBorder="1" applyAlignment="1" applyProtection="1">
      <alignment horizontal="center" vertical="center"/>
      <protection locked="0"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42"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9">
    <dxf>
      <font>
        <b/>
        <i val="0"/>
        <color rgb="FFFF0000"/>
      </font>
    </dxf>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p10063\Reporter&#237;a%20RC\Reporter&#237;a%20RC\04.%20Simuladores\02.%20Intranet-Web\43.%20Cambio%20de%20monto%20m&#237;nimo%20LPB\SimLPB09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Factor (2)"/>
      <sheetName val="Hoja2"/>
    </sheetNames>
    <sheetDataSet>
      <sheetData sheetId="0" refreshError="1"/>
      <sheetData sheetId="1" refreshError="1">
        <row r="26">
          <cell r="C26">
            <v>0.24</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78"/>
  <sheetViews>
    <sheetView showGridLines="0" showRowColHeaders="0" tabSelected="1" zoomScale="80" zoomScaleNormal="80" workbookViewId="0">
      <selection activeCell="C12" sqref="C12"/>
    </sheetView>
  </sheetViews>
  <sheetFormatPr baseColWidth="10" defaultColWidth="0" defaultRowHeight="0" customHeight="1" zeroHeight="1" x14ac:dyDescent="0.2"/>
  <cols>
    <col min="1" max="1" width="28.42578125" style="1" customWidth="1"/>
    <col min="2" max="2" width="40.28515625" style="1" customWidth="1"/>
    <col min="3" max="3" width="49.7109375" style="14" customWidth="1"/>
    <col min="4" max="4" width="60.42578125" style="1" customWidth="1"/>
    <col min="5" max="5" width="28.140625" style="1" customWidth="1"/>
    <col min="6" max="6" width="56.140625" style="1" customWidth="1"/>
    <col min="7" max="7" width="15.5703125" style="1" hidden="1" customWidth="1"/>
    <col min="8" max="8" width="3.85546875" style="1" hidden="1" customWidth="1"/>
    <col min="9" max="9" width="31" style="1" hidden="1" customWidth="1"/>
    <col min="10" max="10" width="15.140625" style="1" hidden="1" customWidth="1"/>
    <col min="11" max="11" width="15.85546875" style="1" hidden="1" customWidth="1"/>
    <col min="12" max="13" width="18.5703125" style="1" hidden="1" customWidth="1"/>
    <col min="14" max="14" width="18.42578125" style="1" hidden="1" customWidth="1"/>
    <col min="15" max="16384" width="11.42578125" style="1" hidden="1"/>
  </cols>
  <sheetData>
    <row r="1" spans="1:14" s="2" customFormat="1" ht="16.5" customHeight="1" x14ac:dyDescent="0.2"/>
    <row r="2" spans="1:14" s="2" customFormat="1" ht="17.25" customHeight="1" x14ac:dyDescent="0.2">
      <c r="A2" s="194" t="s">
        <v>17</v>
      </c>
      <c r="B2" s="194"/>
      <c r="C2" s="194"/>
      <c r="D2" s="194"/>
      <c r="E2" s="194"/>
      <c r="F2" s="194"/>
      <c r="G2" s="194"/>
      <c r="H2" s="194"/>
    </row>
    <row r="3" spans="1:14" s="2" customFormat="1" ht="8.25" customHeight="1" x14ac:dyDescent="0.2">
      <c r="A3" s="44"/>
      <c r="B3" s="44"/>
      <c r="C3" s="44"/>
      <c r="D3" s="44"/>
      <c r="E3" s="44"/>
      <c r="F3" s="44"/>
      <c r="G3" s="44"/>
      <c r="H3" s="44"/>
    </row>
    <row r="4" spans="1:14" s="2" customFormat="1" ht="12.75" customHeight="1" x14ac:dyDescent="0.2">
      <c r="A4" s="195" t="s">
        <v>23</v>
      </c>
      <c r="B4" s="195"/>
      <c r="C4" s="195"/>
      <c r="D4" s="195"/>
      <c r="E4" s="195"/>
      <c r="F4" s="195"/>
      <c r="G4" s="195"/>
      <c r="H4" s="195"/>
    </row>
    <row r="5" spans="1:14" s="2" customFormat="1" ht="16.5" customHeight="1" x14ac:dyDescent="0.2">
      <c r="A5" s="21"/>
      <c r="B5" s="24"/>
      <c r="C5" s="24"/>
      <c r="D5" s="21"/>
      <c r="E5" s="1"/>
      <c r="F5" s="1"/>
      <c r="G5" s="1"/>
      <c r="H5" s="24"/>
    </row>
    <row r="6" spans="1:14" s="2" customFormat="1" ht="27" hidden="1" customHeight="1" thickBot="1" x14ac:dyDescent="0.25">
      <c r="A6" s="51" t="s">
        <v>51</v>
      </c>
      <c r="B6" s="199"/>
      <c r="C6" s="199"/>
      <c r="D6" s="51" t="s">
        <v>52</v>
      </c>
      <c r="E6" s="199"/>
      <c r="F6" s="199"/>
      <c r="G6" s="199"/>
      <c r="H6" s="24"/>
    </row>
    <row r="7" spans="1:14" s="2" customFormat="1" ht="18" hidden="1" customHeight="1" thickBot="1" x14ac:dyDescent="0.35">
      <c r="A7" s="40" t="s">
        <v>53</v>
      </c>
      <c r="B7" s="197"/>
      <c r="C7" s="197"/>
      <c r="D7" s="52" t="s">
        <v>54</v>
      </c>
      <c r="E7" s="204"/>
      <c r="F7" s="204"/>
      <c r="G7" s="204"/>
      <c r="H7" s="34"/>
    </row>
    <row r="8" spans="1:14" s="2" customFormat="1" ht="20.25" hidden="1" customHeight="1" thickBot="1" x14ac:dyDescent="0.35">
      <c r="A8" s="40" t="s">
        <v>55</v>
      </c>
      <c r="B8" s="196"/>
      <c r="C8" s="196"/>
      <c r="D8" s="52" t="s">
        <v>56</v>
      </c>
      <c r="E8" s="204"/>
      <c r="F8" s="204"/>
      <c r="G8" s="204"/>
      <c r="H8" s="35"/>
    </row>
    <row r="9" spans="1:14" s="2" customFormat="1" ht="24" hidden="1" customHeight="1" x14ac:dyDescent="0.3">
      <c r="A9" s="40"/>
      <c r="B9" s="198"/>
      <c r="C9" s="198"/>
      <c r="D9" s="45"/>
      <c r="E9" s="201"/>
      <c r="F9" s="201"/>
      <c r="G9" s="201"/>
      <c r="H9" s="35"/>
    </row>
    <row r="10" spans="1:14" s="2" customFormat="1" ht="24" customHeight="1" thickBot="1" x14ac:dyDescent="0.35">
      <c r="A10" s="17"/>
      <c r="B10" s="23"/>
      <c r="C10" s="23"/>
      <c r="D10" s="22"/>
      <c r="E10" s="32"/>
      <c r="F10" s="32"/>
      <c r="G10" s="32"/>
      <c r="H10" s="4"/>
    </row>
    <row r="11" spans="1:14" s="2" customFormat="1" ht="24" customHeight="1" thickTop="1" thickBot="1" x14ac:dyDescent="0.35">
      <c r="A11" s="17"/>
      <c r="B11" s="41" t="s">
        <v>18</v>
      </c>
      <c r="C11" s="47" t="s">
        <v>20</v>
      </c>
      <c r="D11" s="50"/>
      <c r="E11" s="32"/>
      <c r="F11" s="32"/>
      <c r="G11" s="32"/>
      <c r="H11" s="4"/>
    </row>
    <row r="12" spans="1:14" s="2" customFormat="1" ht="24" customHeight="1" thickTop="1" thickBot="1" x14ac:dyDescent="0.25">
      <c r="A12" s="17"/>
      <c r="B12" s="42" t="s">
        <v>19</v>
      </c>
      <c r="C12" s="145"/>
      <c r="D12" s="25" t="s">
        <v>21</v>
      </c>
      <c r="E12" s="32"/>
      <c r="F12" s="32"/>
      <c r="G12" s="32"/>
      <c r="H12" s="4"/>
      <c r="I12" s="1"/>
      <c r="J12" s="1"/>
      <c r="K12" s="1"/>
      <c r="L12" s="1"/>
      <c r="M12" s="1"/>
      <c r="N12" s="1"/>
    </row>
    <row r="13" spans="1:14" s="2" customFormat="1" ht="10.5" customHeight="1" thickTop="1" x14ac:dyDescent="0.3">
      <c r="A13" s="17"/>
      <c r="B13" s="23"/>
      <c r="C13" s="23"/>
      <c r="D13" s="22"/>
      <c r="E13" s="32"/>
      <c r="F13" s="32"/>
      <c r="G13" s="32"/>
      <c r="H13" s="4"/>
      <c r="I13" s="1"/>
      <c r="J13" s="1"/>
      <c r="K13" s="1"/>
      <c r="L13" s="1"/>
      <c r="M13" s="1"/>
      <c r="N13" s="1"/>
    </row>
    <row r="14" spans="1:14" s="2" customFormat="1" ht="24" customHeight="1" thickBot="1" x14ac:dyDescent="0.25">
      <c r="B14" s="200" t="s">
        <v>7</v>
      </c>
      <c r="C14" s="200"/>
      <c r="D14" s="200"/>
      <c r="E14" s="29"/>
      <c r="F14" s="29"/>
      <c r="G14" s="29"/>
      <c r="I14" s="1"/>
      <c r="J14" s="1"/>
      <c r="K14" s="1"/>
      <c r="L14" s="1"/>
      <c r="M14" s="1"/>
      <c r="N14" s="1"/>
    </row>
    <row r="15" spans="1:14" s="2" customFormat="1" ht="39" customHeight="1" thickTop="1" thickBot="1" x14ac:dyDescent="0.25">
      <c r="B15" s="202" t="str">
        <f>+IF(C12="","",'Factor (2)'!I27)</f>
        <v/>
      </c>
      <c r="C15" s="203"/>
      <c r="D15" s="48"/>
      <c r="E15" s="25" t="s">
        <v>12</v>
      </c>
      <c r="F15" s="25"/>
      <c r="G15" s="29"/>
      <c r="I15" s="1"/>
      <c r="J15" s="1"/>
      <c r="K15" s="1"/>
      <c r="L15" s="1"/>
      <c r="M15" s="1"/>
      <c r="N15" s="1"/>
    </row>
    <row r="16" spans="1:14" s="5" customFormat="1" ht="59.25" customHeight="1" thickTop="1" thickBot="1" x14ac:dyDescent="0.25">
      <c r="A16" s="15"/>
      <c r="B16" s="18"/>
      <c r="C16" s="42" t="s">
        <v>100</v>
      </c>
      <c r="D16" s="185" t="str">
        <f>IF(C12="","",'[1]Factor (2)'!C26)</f>
        <v/>
      </c>
      <c r="E16" s="176"/>
      <c r="F16" s="176"/>
      <c r="G16" s="4"/>
      <c r="I16" s="16"/>
      <c r="J16" s="16"/>
      <c r="K16" s="16"/>
      <c r="L16" s="16"/>
      <c r="M16" s="16"/>
      <c r="N16" s="16"/>
    </row>
    <row r="17" spans="1:14" s="5" customFormat="1" ht="23.25" hidden="1" customHeight="1" thickTop="1" thickBot="1" x14ac:dyDescent="0.25">
      <c r="A17" s="15"/>
      <c r="B17" s="18"/>
      <c r="C17" s="42" t="str">
        <f>+IF(C12="Créditos para Participantes del IESA","Tasa de Interes a Aplicar al Monto de la Liquidación:","Tasa promocional de Interés:")</f>
        <v>Tasa promocional de Interés:</v>
      </c>
      <c r="D17" s="144"/>
      <c r="E17" s="49" t="str">
        <f>+IF(C12="Créditos para Participantes del IESA","*Campo Requerido","*Campo Opcional")</f>
        <v>*Campo Opcional</v>
      </c>
      <c r="F17" s="49"/>
      <c r="G17" s="4"/>
      <c r="I17" s="1"/>
      <c r="J17" s="139"/>
      <c r="K17" s="139"/>
      <c r="L17" s="139"/>
      <c r="M17" s="139"/>
      <c r="N17" s="139"/>
    </row>
    <row r="18" spans="1:14" s="2" customFormat="1" ht="23.25" customHeight="1" thickTop="1" thickBot="1" x14ac:dyDescent="0.25">
      <c r="A18" s="16"/>
      <c r="B18" s="18"/>
      <c r="C18" s="42" t="s">
        <v>32</v>
      </c>
      <c r="D18" s="179"/>
      <c r="E18" s="25" t="s">
        <v>110</v>
      </c>
      <c r="F18" s="25"/>
      <c r="I18" s="139"/>
      <c r="J18" s="140"/>
      <c r="K18" s="141"/>
      <c r="L18" s="46"/>
      <c r="M18" s="142"/>
      <c r="N18" s="140"/>
    </row>
    <row r="19" spans="1:14" s="2" customFormat="1" ht="20.25" hidden="1" thickTop="1" thickBot="1" x14ac:dyDescent="0.25">
      <c r="A19" s="6"/>
      <c r="B19" s="18"/>
      <c r="C19" s="42" t="s">
        <v>33</v>
      </c>
      <c r="D19" s="39"/>
      <c r="E19" s="49" t="s">
        <v>60</v>
      </c>
      <c r="F19" s="49"/>
      <c r="I19" s="139"/>
      <c r="J19" s="140"/>
      <c r="K19" s="141"/>
      <c r="L19" s="46"/>
      <c r="M19" s="142"/>
      <c r="N19" s="140"/>
    </row>
    <row r="20" spans="1:14" ht="24" customHeight="1" thickTop="1" thickBot="1" x14ac:dyDescent="0.25">
      <c r="A20" s="7"/>
      <c r="B20" s="210" t="s">
        <v>9</v>
      </c>
      <c r="C20" s="210"/>
      <c r="D20" s="210"/>
      <c r="E20" s="7"/>
      <c r="F20" s="7"/>
      <c r="G20" s="7"/>
      <c r="I20" s="139"/>
      <c r="J20" s="140"/>
      <c r="K20" s="141"/>
      <c r="L20" s="46"/>
      <c r="M20" s="142"/>
      <c r="N20" s="140"/>
    </row>
    <row r="21" spans="1:14" ht="24" customHeight="1" thickTop="1" thickBot="1" x14ac:dyDescent="0.25">
      <c r="A21" s="7"/>
      <c r="B21" s="214" t="s">
        <v>80</v>
      </c>
      <c r="C21" s="215"/>
      <c r="D21" s="39"/>
      <c r="E21" s="49" t="s">
        <v>12</v>
      </c>
      <c r="F21" s="49"/>
      <c r="G21" s="7"/>
      <c r="I21" s="139"/>
      <c r="J21" s="140"/>
      <c r="K21" s="141"/>
      <c r="L21" s="46"/>
      <c r="M21" s="142"/>
      <c r="N21" s="140"/>
    </row>
    <row r="22" spans="1:14" s="2" customFormat="1" ht="24" customHeight="1" thickTop="1" thickBot="1" x14ac:dyDescent="0.25">
      <c r="B22" s="209" t="str">
        <f>+IF(C12="","",'Factor (2)'!J27)</f>
        <v/>
      </c>
      <c r="C22" s="209"/>
      <c r="D22" s="188"/>
      <c r="E22" s="49" t="s">
        <v>12</v>
      </c>
      <c r="F22" s="49"/>
      <c r="G22" s="38"/>
      <c r="I22" s="139"/>
      <c r="J22" s="140"/>
      <c r="K22" s="141"/>
      <c r="L22" s="46"/>
      <c r="M22" s="142"/>
      <c r="N22" s="140"/>
    </row>
    <row r="23" spans="1:14" s="2" customFormat="1" ht="25.5" customHeight="1" thickTop="1" thickBot="1" x14ac:dyDescent="0.25">
      <c r="B23" s="221" t="s">
        <v>36</v>
      </c>
      <c r="C23" s="220"/>
      <c r="D23" s="26"/>
      <c r="E23" s="49" t="s">
        <v>12</v>
      </c>
      <c r="F23" s="49"/>
      <c r="G23" s="38"/>
      <c r="H23" s="25"/>
      <c r="I23" s="139"/>
      <c r="J23" s="140"/>
      <c r="K23" s="141"/>
      <c r="L23" s="46"/>
      <c r="M23" s="142"/>
      <c r="N23" s="140"/>
    </row>
    <row r="24" spans="1:14" s="2" customFormat="1" ht="36.75" customHeight="1" thickTop="1" thickBot="1" x14ac:dyDescent="0.25">
      <c r="A24" s="1"/>
      <c r="B24" s="209" t="s">
        <v>30</v>
      </c>
      <c r="C24" s="209"/>
      <c r="D24" s="26"/>
      <c r="E24" s="49" t="s">
        <v>12</v>
      </c>
      <c r="F24" s="49"/>
      <c r="G24" s="38"/>
      <c r="H24" s="25"/>
      <c r="I24" s="139"/>
      <c r="J24" s="139"/>
      <c r="K24" s="139"/>
      <c r="L24" s="16"/>
      <c r="M24" s="16"/>
      <c r="N24" s="16"/>
    </row>
    <row r="25" spans="1:14" ht="20.25" customHeight="1" thickTop="1" thickBot="1" x14ac:dyDescent="0.25">
      <c r="A25" s="8"/>
      <c r="B25" s="217" t="s">
        <v>8</v>
      </c>
      <c r="C25" s="218"/>
      <c r="D25" s="37"/>
      <c r="E25" s="49" t="s">
        <v>12</v>
      </c>
      <c r="F25" s="49"/>
      <c r="G25" s="38"/>
      <c r="I25" s="139"/>
      <c r="J25" s="46"/>
      <c r="K25" s="46"/>
    </row>
    <row r="26" spans="1:14" ht="20.25" customHeight="1" thickTop="1" thickBot="1" x14ac:dyDescent="0.25">
      <c r="A26" s="8"/>
      <c r="B26" s="219" t="s">
        <v>14</v>
      </c>
      <c r="C26" s="220"/>
      <c r="D26" s="36"/>
      <c r="E26" s="49" t="s">
        <v>12</v>
      </c>
      <c r="F26" s="49"/>
      <c r="G26" s="38"/>
      <c r="I26" s="139"/>
      <c r="J26" s="46"/>
      <c r="K26" s="46"/>
    </row>
    <row r="27" spans="1:14" s="3" customFormat="1" ht="21.75" thickTop="1" thickBot="1" x14ac:dyDescent="0.25">
      <c r="A27" s="9"/>
      <c r="B27" s="205" t="s">
        <v>0</v>
      </c>
      <c r="C27" s="206"/>
      <c r="D27" s="27" t="str">
        <f>+IF(OR(D15="",D21="",D22="",D23="",D24="",D25="",D26=""),"",'Factor (2)'!C66)</f>
        <v/>
      </c>
      <c r="H27" s="33"/>
      <c r="I27" s="139"/>
      <c r="J27" s="1"/>
      <c r="K27" s="46"/>
      <c r="L27" s="46"/>
      <c r="M27" s="1"/>
      <c r="N27" s="1"/>
    </row>
    <row r="28" spans="1:14" s="3" customFormat="1" ht="21.75" thickTop="1" thickBot="1" x14ac:dyDescent="0.25">
      <c r="A28" s="9"/>
      <c r="B28" s="205" t="s">
        <v>1</v>
      </c>
      <c r="C28" s="206"/>
      <c r="D28" s="27" t="str">
        <f>+IF(OR(D15="",D21="",D22="",D23="",D24="",D25="",D26=""),"",'Factor (2)'!C67)</f>
        <v/>
      </c>
      <c r="H28" s="33"/>
      <c r="I28" s="139"/>
      <c r="J28" s="1"/>
      <c r="K28" s="46"/>
      <c r="L28" s="46"/>
      <c r="M28" s="1"/>
      <c r="N28" s="1"/>
    </row>
    <row r="29" spans="1:14" s="3" customFormat="1" ht="19.5" thickTop="1" thickBot="1" x14ac:dyDescent="0.25">
      <c r="A29" s="2"/>
      <c r="B29" s="216" t="s">
        <v>13</v>
      </c>
      <c r="C29" s="216"/>
      <c r="D29" s="216"/>
      <c r="E29" s="25"/>
      <c r="F29" s="25"/>
      <c r="G29" s="25"/>
      <c r="H29" s="25"/>
      <c r="I29" s="139"/>
      <c r="J29" s="46"/>
      <c r="K29" s="46"/>
      <c r="L29" s="143"/>
      <c r="M29" s="143"/>
      <c r="N29" s="143"/>
    </row>
    <row r="30" spans="1:14" s="2" customFormat="1" ht="39.75" customHeight="1" thickTop="1" thickBot="1" x14ac:dyDescent="0.25">
      <c r="A30" s="10"/>
      <c r="B30" s="212" t="str">
        <f>+IF(OR(D15="",D21="",D22="",D23="",D24="",D25="",D26=""),"",'Factor (2)'!D70)</f>
        <v/>
      </c>
      <c r="C30" s="212"/>
      <c r="D30" s="191" t="str">
        <f>+IF(OR(B30="Capacidad de pago insuficiente",B30='Factor (2)'!E9,B30="No califica para el monto solicitado",B30="",'Factor (2)'!D69&lt;0),"",'Factor (2)'!D69)</f>
        <v/>
      </c>
      <c r="E30" s="190"/>
      <c r="F30" s="189"/>
      <c r="G30" s="189" t="str">
        <f>+IF(D30&lt;1500000,"El monto mínimo a solicitar es Bs. 1.500.000,00","")</f>
        <v/>
      </c>
      <c r="H30" s="25"/>
      <c r="I30" s="139"/>
      <c r="J30" s="46"/>
      <c r="K30" s="46"/>
      <c r="L30" s="1"/>
      <c r="M30" s="1"/>
      <c r="N30" s="1"/>
    </row>
    <row r="31" spans="1:14" s="2" customFormat="1" ht="19.5" thickTop="1" thickBot="1" x14ac:dyDescent="0.25">
      <c r="A31" s="10"/>
      <c r="B31" s="216" t="s">
        <v>11</v>
      </c>
      <c r="C31" s="216"/>
      <c r="D31" s="216"/>
      <c r="E31" s="25"/>
      <c r="F31" s="25"/>
      <c r="G31" s="25"/>
      <c r="H31" s="25"/>
      <c r="I31" s="139"/>
      <c r="J31" s="139"/>
      <c r="K31" s="1"/>
      <c r="L31" s="1"/>
      <c r="M31" s="1"/>
      <c r="N31" s="1"/>
    </row>
    <row r="32" spans="1:14" s="2" customFormat="1" ht="21.75" thickTop="1" thickBot="1" x14ac:dyDescent="0.25">
      <c r="A32" s="10"/>
      <c r="B32" s="212" t="str">
        <f>+IF(OR(B30="Capacidad de pago insuficiente",B30="No califica para el monto solicitado",B30='Factor (2)'!E9,B30=""),"",IF(C12="Créditos para Participantes del IESA","Cuota estimada mensual a tasa de interes actual","Cuota mensual a tasa de interes actual"))</f>
        <v/>
      </c>
      <c r="C32" s="212"/>
      <c r="D32" s="191" t="str">
        <f>+IF(OR(B30="Capacidad de pago insuficiente",B30="No califica para el monto solicitado",B30='Factor (2)'!E9,B30=""),"",'Factor (2)'!C69)</f>
        <v/>
      </c>
      <c r="E32" s="49"/>
      <c r="F32" s="49"/>
      <c r="G32" s="25"/>
      <c r="H32" s="25"/>
      <c r="I32" s="139"/>
      <c r="J32" s="139"/>
      <c r="K32" s="1"/>
      <c r="L32" s="1"/>
      <c r="M32" s="1"/>
      <c r="N32" s="1"/>
    </row>
    <row r="33" spans="1:10" s="2" customFormat="1" ht="21.75" thickTop="1" thickBot="1" x14ac:dyDescent="0.25">
      <c r="A33" s="10"/>
      <c r="B33" s="20"/>
      <c r="C33" s="20"/>
      <c r="D33" s="19"/>
      <c r="E33" s="25"/>
      <c r="F33" s="25"/>
      <c r="G33" s="25"/>
      <c r="H33" s="25"/>
      <c r="I33" s="25"/>
      <c r="J33" s="25"/>
    </row>
    <row r="34" spans="1:10" s="2" customFormat="1" ht="21.75" hidden="1" thickTop="1" thickBot="1" x14ac:dyDescent="0.25">
      <c r="A34" s="10"/>
      <c r="B34" s="213" t="str">
        <f>+IF(OR(D30="",D17=0,D17="",D17=D16),"",IF(C12="Créditos para Participantes del IESA","",IF(OR(B30="Capacidad de pago insuficiente",B30='Factor (2)'!E9,B30=""),"","Cuota mensual a tasa de interes promocional")))</f>
        <v/>
      </c>
      <c r="C34" s="213"/>
      <c r="D34" s="28" t="str">
        <f>IF(OR(D30="",D17=0,D17="",D17=D16),"",#REF!)</f>
        <v/>
      </c>
      <c r="E34" s="25"/>
      <c r="F34" s="25"/>
      <c r="G34" s="25"/>
      <c r="H34" s="25"/>
      <c r="J34" s="25"/>
    </row>
    <row r="35" spans="1:10" s="2" customFormat="1" ht="24" customHeight="1" thickTop="1" thickBot="1" x14ac:dyDescent="0.25">
      <c r="A35" s="13"/>
      <c r="B35" s="11"/>
      <c r="C35" s="12"/>
      <c r="D35" s="43">
        <f ca="1">TODAY()</f>
        <v>43318</v>
      </c>
      <c r="E35" s="25"/>
      <c r="F35" s="25"/>
      <c r="G35" s="25"/>
      <c r="H35" s="25"/>
      <c r="I35" s="25"/>
      <c r="J35" s="25"/>
    </row>
    <row r="36" spans="1:10" s="2" customFormat="1" ht="37.5" customHeight="1" thickTop="1" thickBot="1" x14ac:dyDescent="0.25">
      <c r="A36" s="13"/>
      <c r="B36" s="207" t="s">
        <v>31</v>
      </c>
      <c r="C36" s="208"/>
      <c r="D36" s="208"/>
      <c r="E36" s="25"/>
      <c r="F36" s="25"/>
      <c r="G36" s="25"/>
      <c r="H36" s="25"/>
      <c r="I36" s="25"/>
      <c r="J36" s="25"/>
    </row>
    <row r="37" spans="1:10" s="2" customFormat="1" ht="18.75" thickTop="1" x14ac:dyDescent="0.2">
      <c r="A37" s="13"/>
      <c r="B37" s="30"/>
      <c r="C37" s="31"/>
      <c r="D37" s="31"/>
      <c r="E37" s="13"/>
      <c r="F37" s="13"/>
      <c r="G37" s="13"/>
    </row>
    <row r="38" spans="1:10" s="2" customFormat="1" ht="18" hidden="1" x14ac:dyDescent="0.2">
      <c r="B38" s="53" t="s">
        <v>57</v>
      </c>
      <c r="C38" s="31"/>
      <c r="D38" s="31"/>
      <c r="E38" s="13"/>
      <c r="F38" s="13"/>
      <c r="G38" s="13"/>
    </row>
    <row r="39" spans="1:10" s="2" customFormat="1" ht="18" hidden="1" x14ac:dyDescent="0.2">
      <c r="B39" s="211"/>
      <c r="C39" s="211"/>
      <c r="D39" s="211"/>
      <c r="E39" s="13"/>
      <c r="F39" s="13"/>
      <c r="G39" s="13"/>
    </row>
    <row r="40" spans="1:10" s="2" customFormat="1" ht="18" hidden="1" x14ac:dyDescent="0.2">
      <c r="B40" s="211"/>
      <c r="C40" s="211"/>
      <c r="D40" s="211"/>
      <c r="E40" s="13"/>
      <c r="F40" s="13"/>
      <c r="G40" s="13"/>
    </row>
    <row r="41" spans="1:10" s="2" customFormat="1" ht="18" hidden="1" x14ac:dyDescent="0.2">
      <c r="B41" s="211"/>
      <c r="C41" s="211"/>
      <c r="D41" s="211"/>
      <c r="E41" s="13"/>
      <c r="F41" s="13"/>
      <c r="G41" s="13"/>
    </row>
    <row r="42" spans="1:10" s="2" customFormat="1" ht="18" hidden="1" x14ac:dyDescent="0.2">
      <c r="B42" s="211"/>
      <c r="C42" s="211"/>
      <c r="D42" s="211"/>
      <c r="E42" s="13"/>
      <c r="F42" s="13"/>
      <c r="G42" s="13"/>
    </row>
    <row r="43" spans="1:10" s="2" customFormat="1" ht="18" hidden="1" x14ac:dyDescent="0.2">
      <c r="B43" s="211"/>
      <c r="C43" s="211"/>
      <c r="D43" s="211"/>
      <c r="E43" s="13"/>
      <c r="F43" s="13"/>
      <c r="G43" s="13"/>
    </row>
    <row r="44" spans="1:10" s="2" customFormat="1" ht="18" hidden="1" x14ac:dyDescent="0.2">
      <c r="B44" s="211"/>
      <c r="C44" s="211"/>
      <c r="D44" s="211"/>
      <c r="E44" s="13"/>
      <c r="F44" s="13"/>
      <c r="G44" s="13"/>
    </row>
    <row r="45" spans="1:10" s="2" customFormat="1" ht="18" hidden="1" x14ac:dyDescent="0.2">
      <c r="B45" s="211"/>
      <c r="C45" s="211"/>
      <c r="D45" s="211"/>
      <c r="E45" s="13"/>
      <c r="F45" s="13"/>
      <c r="G45" s="13"/>
    </row>
    <row r="46" spans="1:10" s="2" customFormat="1" ht="18" hidden="1" x14ac:dyDescent="0.2">
      <c r="B46" s="211"/>
      <c r="C46" s="211"/>
      <c r="D46" s="211"/>
      <c r="E46" s="13"/>
      <c r="F46" s="13"/>
      <c r="G46" s="13"/>
    </row>
    <row r="47" spans="1:10" s="2" customFormat="1" ht="18" hidden="1" x14ac:dyDescent="0.2">
      <c r="B47" s="211"/>
      <c r="C47" s="211"/>
      <c r="D47" s="211"/>
      <c r="E47" s="13"/>
      <c r="F47" s="13"/>
      <c r="G47" s="13"/>
    </row>
    <row r="48" spans="1:10" s="2" customFormat="1" ht="18" hidden="1" x14ac:dyDescent="0.2">
      <c r="B48" s="211"/>
      <c r="C48" s="211"/>
      <c r="D48" s="211"/>
      <c r="E48" s="13"/>
      <c r="F48" s="13"/>
      <c r="G48" s="13"/>
    </row>
    <row r="49" spans="2:7" s="2" customFormat="1" ht="18" hidden="1" x14ac:dyDescent="0.2">
      <c r="B49" s="211"/>
      <c r="C49" s="211"/>
      <c r="D49" s="211"/>
      <c r="E49" s="13"/>
      <c r="F49" s="13"/>
      <c r="G49" s="13"/>
    </row>
    <row r="50" spans="2:7" s="2" customFormat="1" ht="18" hidden="1" x14ac:dyDescent="0.2">
      <c r="B50" s="211"/>
      <c r="C50" s="211"/>
      <c r="D50" s="211"/>
      <c r="E50" s="13"/>
      <c r="F50" s="13"/>
      <c r="G50" s="13"/>
    </row>
    <row r="51" spans="2:7" s="2" customFormat="1" ht="18" hidden="1" x14ac:dyDescent="0.2">
      <c r="B51" s="211"/>
      <c r="C51" s="211"/>
      <c r="D51" s="211"/>
      <c r="E51" s="13"/>
      <c r="F51" s="13"/>
      <c r="G51" s="13"/>
    </row>
    <row r="52" spans="2:7" s="2" customFormat="1" ht="18" hidden="1" x14ac:dyDescent="0.2">
      <c r="B52" s="211"/>
      <c r="C52" s="211"/>
      <c r="D52" s="211"/>
      <c r="E52" s="13"/>
      <c r="F52" s="13"/>
      <c r="G52" s="13"/>
    </row>
    <row r="53" spans="2:7" s="2" customFormat="1" ht="18" hidden="1" x14ac:dyDescent="0.2">
      <c r="B53" s="211"/>
      <c r="C53" s="211"/>
      <c r="D53" s="211"/>
      <c r="E53" s="13"/>
      <c r="F53" s="13"/>
      <c r="G53" s="13"/>
    </row>
    <row r="54" spans="2:7" s="2" customFormat="1" ht="18" hidden="1" x14ac:dyDescent="0.2">
      <c r="B54" s="211"/>
      <c r="C54" s="211"/>
      <c r="D54" s="211"/>
      <c r="E54" s="13"/>
      <c r="F54" s="13"/>
      <c r="G54" s="13"/>
    </row>
    <row r="55" spans="2:7" s="2" customFormat="1" ht="18" hidden="1" x14ac:dyDescent="0.2">
      <c r="B55" s="211"/>
      <c r="C55" s="211"/>
      <c r="D55" s="211"/>
      <c r="E55" s="13"/>
      <c r="F55" s="13"/>
      <c r="G55" s="13"/>
    </row>
    <row r="56" spans="2:7" s="2" customFormat="1" ht="18" hidden="1" x14ac:dyDescent="0.2">
      <c r="B56" s="211"/>
      <c r="C56" s="211"/>
      <c r="D56" s="211"/>
      <c r="E56" s="13"/>
      <c r="F56" s="13"/>
      <c r="G56" s="13"/>
    </row>
    <row r="57" spans="2:7" s="2" customFormat="1" ht="18" hidden="1" x14ac:dyDescent="0.2">
      <c r="B57" s="211"/>
      <c r="C57" s="211"/>
      <c r="D57" s="211"/>
      <c r="E57" s="13"/>
      <c r="F57" s="13"/>
      <c r="G57" s="13"/>
    </row>
    <row r="58" spans="2:7" s="2" customFormat="1" ht="18" hidden="1" x14ac:dyDescent="0.2">
      <c r="B58" s="211"/>
      <c r="C58" s="211"/>
      <c r="D58" s="211"/>
      <c r="E58" s="13"/>
      <c r="F58" s="13"/>
      <c r="G58" s="13"/>
    </row>
    <row r="59" spans="2:7" s="2" customFormat="1" ht="18" hidden="1" x14ac:dyDescent="0.2">
      <c r="B59" s="211"/>
      <c r="C59" s="211"/>
      <c r="D59" s="211"/>
      <c r="E59" s="13"/>
      <c r="F59" s="13"/>
      <c r="G59" s="13"/>
    </row>
    <row r="60" spans="2:7" s="2" customFormat="1" ht="18" hidden="1" x14ac:dyDescent="0.2">
      <c r="B60" s="211"/>
      <c r="C60" s="211"/>
      <c r="D60" s="211"/>
      <c r="E60" s="13"/>
      <c r="F60" s="13"/>
      <c r="G60" s="13"/>
    </row>
    <row r="61" spans="2:7" s="2" customFormat="1" ht="18" hidden="1" x14ac:dyDescent="0.2">
      <c r="B61" s="211"/>
      <c r="C61" s="211"/>
      <c r="D61" s="211"/>
      <c r="E61" s="13"/>
      <c r="F61" s="13"/>
      <c r="G61" s="13"/>
    </row>
    <row r="62" spans="2:7" s="2" customFormat="1" ht="18" hidden="1" x14ac:dyDescent="0.2">
      <c r="B62" s="211"/>
      <c r="C62" s="211"/>
      <c r="D62" s="211"/>
      <c r="E62" s="13"/>
      <c r="F62" s="13"/>
      <c r="G62" s="13"/>
    </row>
    <row r="63" spans="2:7" s="2" customFormat="1" ht="18" hidden="1" x14ac:dyDescent="0.2">
      <c r="B63" s="211"/>
      <c r="C63" s="211"/>
      <c r="D63" s="211"/>
      <c r="E63" s="13"/>
      <c r="F63" s="13"/>
      <c r="G63" s="13"/>
    </row>
    <row r="64" spans="2:7" s="2" customFormat="1" ht="18" hidden="1" x14ac:dyDescent="0.2">
      <c r="B64" s="211"/>
      <c r="C64" s="211"/>
      <c r="D64" s="211"/>
      <c r="E64" s="13"/>
      <c r="F64" s="13"/>
      <c r="G64" s="13"/>
    </row>
    <row r="65" spans="1:7" s="2" customFormat="1" ht="18" hidden="1" x14ac:dyDescent="0.2">
      <c r="B65" s="211"/>
      <c r="C65" s="211"/>
      <c r="D65" s="211"/>
      <c r="E65" s="13"/>
      <c r="F65" s="13"/>
      <c r="G65" s="13"/>
    </row>
    <row r="66" spans="1:7" s="2" customFormat="1" ht="18" hidden="1" x14ac:dyDescent="0.2">
      <c r="B66" s="211"/>
      <c r="C66" s="211"/>
      <c r="D66" s="211"/>
      <c r="E66" s="13"/>
      <c r="F66" s="13"/>
      <c r="G66" s="13"/>
    </row>
    <row r="67" spans="1:7" s="2" customFormat="1" ht="18" hidden="1" x14ac:dyDescent="0.2">
      <c r="B67" s="211"/>
      <c r="C67" s="211"/>
      <c r="D67" s="211"/>
      <c r="E67" s="13"/>
      <c r="F67" s="13"/>
      <c r="G67" s="13"/>
    </row>
    <row r="68" spans="1:7" s="2" customFormat="1" ht="18" hidden="1" x14ac:dyDescent="0.2">
      <c r="B68" s="211"/>
      <c r="C68" s="211"/>
      <c r="D68" s="211"/>
      <c r="E68" s="13"/>
      <c r="F68" s="13"/>
      <c r="G68" s="13"/>
    </row>
    <row r="69" spans="1:7" s="2" customFormat="1" ht="18" hidden="1" x14ac:dyDescent="0.2">
      <c r="B69" s="211"/>
      <c r="C69" s="211"/>
      <c r="D69" s="211"/>
      <c r="E69" s="13"/>
      <c r="F69" s="13"/>
      <c r="G69" s="13"/>
    </row>
    <row r="70" spans="1:7" s="2" customFormat="1" ht="18" hidden="1" x14ac:dyDescent="0.2">
      <c r="B70" s="211"/>
      <c r="C70" s="211"/>
      <c r="D70" s="211"/>
      <c r="E70" s="13"/>
      <c r="F70" s="13"/>
      <c r="G70" s="13"/>
    </row>
    <row r="71" spans="1:7" s="2" customFormat="1" ht="18" hidden="1" x14ac:dyDescent="0.2">
      <c r="B71" s="211"/>
      <c r="C71" s="211"/>
      <c r="D71" s="211"/>
      <c r="E71" s="13"/>
      <c r="F71" s="13"/>
      <c r="G71" s="13"/>
    </row>
    <row r="72" spans="1:7" s="2" customFormat="1" ht="18" hidden="1" x14ac:dyDescent="0.2">
      <c r="B72" s="211"/>
      <c r="C72" s="211"/>
      <c r="D72" s="211"/>
      <c r="E72" s="13"/>
      <c r="F72" s="13"/>
      <c r="G72" s="13"/>
    </row>
    <row r="73" spans="1:7" s="2" customFormat="1" ht="18" hidden="1" x14ac:dyDescent="0.2">
      <c r="B73" s="211"/>
      <c r="C73" s="211"/>
      <c r="D73" s="211"/>
      <c r="E73" s="13"/>
      <c r="F73" s="13"/>
      <c r="G73" s="13"/>
    </row>
    <row r="74" spans="1:7" s="2" customFormat="1" ht="18" hidden="1" x14ac:dyDescent="0.2">
      <c r="B74" s="211"/>
      <c r="C74" s="211"/>
      <c r="D74" s="211"/>
      <c r="E74" s="13"/>
      <c r="F74" s="13"/>
      <c r="G74" s="13"/>
    </row>
    <row r="75" spans="1:7" s="2" customFormat="1" ht="18" hidden="1" x14ac:dyDescent="0.2">
      <c r="B75" s="211"/>
      <c r="C75" s="211"/>
      <c r="D75" s="211"/>
      <c r="E75" s="13"/>
      <c r="F75" s="13"/>
      <c r="G75" s="13"/>
    </row>
    <row r="76" spans="1:7" s="2" customFormat="1" ht="18" hidden="1" x14ac:dyDescent="0.2">
      <c r="B76" s="211"/>
      <c r="C76" s="211"/>
      <c r="D76" s="211"/>
      <c r="E76" s="13"/>
      <c r="F76" s="13"/>
      <c r="G76" s="13"/>
    </row>
    <row r="77" spans="1:7" s="2" customFormat="1" ht="18" hidden="1" x14ac:dyDescent="0.2">
      <c r="B77" s="211"/>
      <c r="C77" s="211"/>
      <c r="D77" s="211"/>
      <c r="E77" s="13"/>
      <c r="F77" s="13"/>
      <c r="G77" s="13"/>
    </row>
    <row r="78" spans="1:7" s="2" customFormat="1" ht="23.25" customHeight="1" x14ac:dyDescent="0.2">
      <c r="A78" s="13"/>
      <c r="B78" s="30"/>
      <c r="C78" s="31"/>
      <c r="D78" s="186"/>
      <c r="E78" s="13"/>
      <c r="F78" s="13"/>
      <c r="G78" s="13"/>
    </row>
  </sheetData>
  <sheetProtection password="CB1F" sheet="1" objects="1" scenarios="1" selectLockedCells="1"/>
  <dataConsolidate/>
  <mergeCells count="28">
    <mergeCell ref="B27:C27"/>
    <mergeCell ref="B36:D36"/>
    <mergeCell ref="B22:C22"/>
    <mergeCell ref="B20:D20"/>
    <mergeCell ref="B39:D77"/>
    <mergeCell ref="B32:C32"/>
    <mergeCell ref="B34:C34"/>
    <mergeCell ref="B21:C21"/>
    <mergeCell ref="B28:C28"/>
    <mergeCell ref="B29:D29"/>
    <mergeCell ref="B31:D31"/>
    <mergeCell ref="B30:C30"/>
    <mergeCell ref="B24:C24"/>
    <mergeCell ref="B25:C25"/>
    <mergeCell ref="B26:C26"/>
    <mergeCell ref="B23:C23"/>
    <mergeCell ref="B14:D14"/>
    <mergeCell ref="E9:G9"/>
    <mergeCell ref="B15:C15"/>
    <mergeCell ref="E7:G7"/>
    <mergeCell ref="E8:G8"/>
    <mergeCell ref="A2:H2"/>
    <mergeCell ref="A4:H4"/>
    <mergeCell ref="B8:C8"/>
    <mergeCell ref="B7:C7"/>
    <mergeCell ref="B9:C9"/>
    <mergeCell ref="B6:C6"/>
    <mergeCell ref="E6:G6"/>
  </mergeCells>
  <phoneticPr fontId="3" type="noConversion"/>
  <conditionalFormatting sqref="D30 B32:D34">
    <cfRule type="expression" dxfId="8" priority="25" stopIfTrue="1">
      <formula>$B$30="Califica para el monto solicitado"</formula>
    </cfRule>
    <cfRule type="expression" dxfId="7" priority="26" stopIfTrue="1">
      <formula>$B$30="Máximo monto"</formula>
    </cfRule>
  </conditionalFormatting>
  <conditionalFormatting sqref="A27:A28">
    <cfRule type="cellIs" dxfId="6" priority="24" stopIfTrue="1" operator="equal">
      <formula>"""Nivel de ingreso SATISFACTORIO para Crédito solicitado"""</formula>
    </cfRule>
  </conditionalFormatting>
  <conditionalFormatting sqref="B30:C30">
    <cfRule type="expression" dxfId="5" priority="31" stopIfTrue="1">
      <formula>OR($B$30="Inicial menor a la requerida",$B$30="Capacidad de Pago Insuficiente",$D$30="Monto mínimo a otorgar es Bs. 1.500.000,00",$D$30="No califica para el monto solicitado")</formula>
    </cfRule>
    <cfRule type="cellIs" dxfId="4" priority="32" stopIfTrue="1" operator="equal">
      <formula>"Califica para el monto solicitado"</formula>
    </cfRule>
    <cfRule type="cellIs" dxfId="3" priority="33" stopIfTrue="1" operator="equal">
      <formula>"Máximo monto"</formula>
    </cfRule>
  </conditionalFormatting>
  <conditionalFormatting sqref="D34">
    <cfRule type="expression" dxfId="2" priority="5" stopIfTrue="1">
      <formula>$B$34=""</formula>
    </cfRule>
  </conditionalFormatting>
  <conditionalFormatting sqref="D16">
    <cfRule type="expression" dxfId="1" priority="3" stopIfTrue="1">
      <formula>$C$16=""</formula>
    </cfRule>
  </conditionalFormatting>
  <conditionalFormatting sqref="D30 B32 D32">
    <cfRule type="expression" dxfId="0" priority="1">
      <formula>OR($B$30="Inicial menor a la requerida",$B$30="Capacidad de Pago Insuficiente",$D$30="Monto mínimo a otorgar es Bs. 1.500.000,00",$D$30="No califica para el monto solicitado")</formula>
    </cfRule>
  </conditionalFormatting>
  <dataValidations xWindow="652" yWindow="589" count="10">
    <dataValidation type="list" allowBlank="1" showErrorMessage="1" error="_x000a_" promptTitle="Carga Familiar no incluye al Sol" sqref="D21">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2">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I26 I19"/>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list" allowBlank="1" showErrorMessage="1" error="_x000a_" promptTitle="Carga Familiar no incluye al Sol" sqref="D26">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7">
      <formula1>TI</formula1>
    </dataValidation>
    <dataValidation type="decimal" operator="lessThanOrEqual" allowBlank="1" showInputMessage="1" showErrorMessage="1" errorTitle="Verifique Plazo Solicitado" error="El plazo solicitado no puede ser mayor al plazo actual del producto." sqref="D19">
      <formula1>PM</formula1>
    </dataValidation>
    <dataValidation type="whole" allowBlank="1" showInputMessage="1" showErrorMessage="1" sqref="D15">
      <formula1>MMin</formula1>
      <formula2>MMax</formula2>
    </dataValidation>
    <dataValidation type="list" allowBlank="1" showInputMessage="1" showErrorMessage="1" sqref="D18">
      <formula1>INDIRECT($C$12)</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 (2)'!$B$14:$B$21</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U87"/>
  <sheetViews>
    <sheetView showGridLines="0" zoomScale="80" zoomScaleNormal="80" workbookViewId="0">
      <selection activeCell="D71" sqref="D71"/>
    </sheetView>
  </sheetViews>
  <sheetFormatPr baseColWidth="10" defaultRowHeight="12.75" x14ac:dyDescent="0.2"/>
  <cols>
    <col min="1" max="1" width="2.5703125" style="187" bestFit="1" customWidth="1"/>
    <col min="2" max="2" width="47" style="55" bestFit="1" customWidth="1"/>
    <col min="3" max="3" width="22.140625" style="55" bestFit="1" customWidth="1"/>
    <col min="4" max="4" width="26.5703125" style="55" bestFit="1" customWidth="1"/>
    <col min="5" max="5" width="27.28515625" style="55" bestFit="1" customWidth="1"/>
    <col min="6" max="6" width="32.42578125" style="55" customWidth="1"/>
    <col min="7" max="7" width="21.85546875" style="55" customWidth="1"/>
    <col min="8" max="8" width="24.140625" style="55" customWidth="1"/>
    <col min="9" max="9" width="41.5703125" style="55" customWidth="1"/>
    <col min="10" max="10" width="34.42578125" style="55" customWidth="1"/>
    <col min="11" max="11" width="14.28515625" style="55" customWidth="1"/>
    <col min="12" max="12" width="18.85546875" style="55" customWidth="1"/>
    <col min="13" max="13" width="11.42578125" style="55"/>
    <col min="14" max="14" width="39.85546875" style="55" bestFit="1" customWidth="1"/>
    <col min="15" max="15" width="21.7109375" style="55" bestFit="1" customWidth="1"/>
    <col min="16" max="16" width="12" style="55" bestFit="1" customWidth="1"/>
    <col min="17" max="16384" width="11.42578125" style="55"/>
  </cols>
  <sheetData>
    <row r="1" spans="2:16" ht="51" thickTop="1" thickBot="1" x14ac:dyDescent="0.3">
      <c r="B1" s="54" t="s">
        <v>19</v>
      </c>
      <c r="D1" s="56" t="s">
        <v>61</v>
      </c>
      <c r="G1" s="75" t="s">
        <v>26</v>
      </c>
      <c r="J1" s="54" t="s">
        <v>62</v>
      </c>
      <c r="K1" s="55" t="s">
        <v>81</v>
      </c>
      <c r="L1" s="54" t="s">
        <v>29</v>
      </c>
      <c r="N1" s="54" t="s">
        <v>63</v>
      </c>
      <c r="O1" s="54" t="s">
        <v>64</v>
      </c>
      <c r="P1" s="54" t="s">
        <v>65</v>
      </c>
    </row>
    <row r="2" spans="2:16" ht="14.25" thickTop="1" thickBot="1" x14ac:dyDescent="0.25">
      <c r="B2" s="112">
        <f>+Tabla!C12</f>
        <v>0</v>
      </c>
      <c r="G2" s="57" t="s">
        <v>15</v>
      </c>
      <c r="J2" s="57" t="s">
        <v>66</v>
      </c>
      <c r="K2" s="55" t="s">
        <v>81</v>
      </c>
      <c r="L2" s="177">
        <v>12</v>
      </c>
      <c r="N2" s="58" t="s">
        <v>67</v>
      </c>
      <c r="O2" s="59">
        <v>1</v>
      </c>
      <c r="P2" s="55" t="e">
        <f>+IF(#REF!="","",IF(AND(#REF!&gt;=0,#REF!&lt;N3),O2,""))</f>
        <v>#REF!</v>
      </c>
    </row>
    <row r="3" spans="2:16" ht="13.5" thickBot="1" x14ac:dyDescent="0.25">
      <c r="G3" s="60" t="s">
        <v>16</v>
      </c>
      <c r="J3" s="60" t="s">
        <v>68</v>
      </c>
      <c r="K3" s="55" t="s">
        <v>81</v>
      </c>
      <c r="L3" s="177">
        <v>18</v>
      </c>
      <c r="N3" s="58">
        <v>1</v>
      </c>
      <c r="O3" s="59">
        <v>0.8</v>
      </c>
      <c r="P3" s="61" t="e">
        <f>+IF(#REF!="","",IF(AND(#REF!&gt;=N3,#REF!&lt;N4),O3,""))</f>
        <v>#REF!</v>
      </c>
    </row>
    <row r="4" spans="2:16" x14ac:dyDescent="0.2">
      <c r="L4" s="177">
        <v>24</v>
      </c>
      <c r="N4" s="58">
        <v>1.1000000000000001</v>
      </c>
      <c r="O4" s="59">
        <v>0.7742</v>
      </c>
      <c r="P4" s="61" t="e">
        <f>+IF(#REF!="","",IF(AND(#REF!&gt;=N4,#REF!&lt;N26),O4,""))</f>
        <v>#REF!</v>
      </c>
    </row>
    <row r="5" spans="2:16" ht="13.5" thickBot="1" x14ac:dyDescent="0.25">
      <c r="B5" s="54" t="s">
        <v>69</v>
      </c>
      <c r="C5" s="54" t="s">
        <v>70</v>
      </c>
      <c r="D5" s="54" t="s">
        <v>71</v>
      </c>
      <c r="E5" s="65"/>
      <c r="H5" s="147">
        <v>6746.98</v>
      </c>
      <c r="L5" s="178">
        <v>36</v>
      </c>
      <c r="N5" s="58">
        <v>1.7</v>
      </c>
      <c r="O5" s="59">
        <v>0.61939999999999995</v>
      </c>
      <c r="P5" s="61" t="e">
        <f>+IF(#REF!="","",IF(AND(#REF!&gt;=N5,#REF!&lt;N6),O5,""))</f>
        <v>#REF!</v>
      </c>
    </row>
    <row r="6" spans="2:16" x14ac:dyDescent="0.2">
      <c r="B6" s="66" t="s">
        <v>6</v>
      </c>
      <c r="C6" s="67">
        <f ca="1">+TODAY()</f>
        <v>43318</v>
      </c>
      <c r="D6" s="68">
        <v>3000000</v>
      </c>
      <c r="E6" s="69"/>
      <c r="G6" s="146">
        <v>42186</v>
      </c>
      <c r="H6" s="148">
        <v>7421.68</v>
      </c>
      <c r="N6" s="58">
        <v>1.8</v>
      </c>
      <c r="O6" s="59">
        <v>0.59350000000000003</v>
      </c>
      <c r="P6" s="61" t="e">
        <f>+IF(#REF!="","",IF(AND(#REF!&gt;=N6,#REF!&lt;N7),O6,""))</f>
        <v>#REF!</v>
      </c>
    </row>
    <row r="7" spans="2:16" ht="13.5" thickBot="1" x14ac:dyDescent="0.25">
      <c r="B7" s="70" t="s">
        <v>10</v>
      </c>
      <c r="C7" s="71">
        <f ca="1">+C6</f>
        <v>43318</v>
      </c>
      <c r="D7" s="72">
        <v>1200</v>
      </c>
      <c r="E7" s="69"/>
      <c r="N7" s="58">
        <v>1.9</v>
      </c>
      <c r="O7" s="59">
        <v>0.56769999999999998</v>
      </c>
      <c r="P7" s="61" t="e">
        <f>+IF(#REF!="","",IF(AND(#REF!&gt;=N7,#REF!&lt;#REF!),O7,""))</f>
        <v>#REF!</v>
      </c>
    </row>
    <row r="8" spans="2:16" x14ac:dyDescent="0.2">
      <c r="B8" s="129" t="s">
        <v>24</v>
      </c>
      <c r="C8" s="130">
        <f ca="1">+C6</f>
        <v>43318</v>
      </c>
      <c r="D8" s="131">
        <f>+SM</f>
        <v>3000000</v>
      </c>
      <c r="E8" s="69"/>
      <c r="N8" s="58"/>
      <c r="O8" s="59"/>
      <c r="P8" s="61"/>
    </row>
    <row r="9" spans="2:16" ht="41.25" customHeight="1" thickBot="1" x14ac:dyDescent="0.25">
      <c r="B9" s="135" t="s">
        <v>25</v>
      </c>
      <c r="C9" s="136">
        <f ca="1">+C6</f>
        <v>43318</v>
      </c>
      <c r="D9" s="137">
        <v>7000</v>
      </c>
      <c r="E9" s="138" t="str">
        <f>+CONCATENATE("El ingreso mínimo para optar a este producto es &gt;= Bs.",MID(D9,1,1),".",MID(D9,2,3))</f>
        <v>El ingreso mínimo para optar a este producto es &gt;= Bs.7.000</v>
      </c>
      <c r="N9" s="58"/>
      <c r="O9" s="59"/>
      <c r="P9" s="61"/>
    </row>
    <row r="10" spans="2:16" x14ac:dyDescent="0.2">
      <c r="B10" s="73"/>
      <c r="C10" s="74"/>
      <c r="D10" s="69"/>
      <c r="N10" s="58"/>
      <c r="O10" s="59"/>
      <c r="P10" s="61"/>
    </row>
    <row r="11" spans="2:16" x14ac:dyDescent="0.2">
      <c r="B11" s="73"/>
      <c r="C11" s="74"/>
      <c r="D11" s="69"/>
      <c r="N11" s="58"/>
      <c r="O11" s="59"/>
      <c r="P11" s="61"/>
    </row>
    <row r="12" spans="2:16" x14ac:dyDescent="0.2">
      <c r="B12" s="113">
        <v>1</v>
      </c>
      <c r="C12" s="113">
        <v>2</v>
      </c>
      <c r="D12" s="113">
        <v>3</v>
      </c>
      <c r="E12" s="114">
        <v>4</v>
      </c>
      <c r="F12" s="114">
        <v>5</v>
      </c>
      <c r="G12" s="114">
        <v>6</v>
      </c>
      <c r="H12" s="114">
        <v>7</v>
      </c>
      <c r="I12" s="114">
        <v>8</v>
      </c>
      <c r="J12" s="114">
        <v>9</v>
      </c>
      <c r="N12" s="58">
        <v>2.5</v>
      </c>
      <c r="O12" s="59">
        <v>0.41289999999999999</v>
      </c>
      <c r="P12" s="61" t="e">
        <f>+IF(#REF!="","",IF(AND(#REF!&gt;=N12,#REF!&lt;#REF!),O12,""))</f>
        <v>#REF!</v>
      </c>
    </row>
    <row r="13" spans="2:16" x14ac:dyDescent="0.2">
      <c r="B13" s="54" t="s">
        <v>19</v>
      </c>
      <c r="C13" s="54" t="s">
        <v>28</v>
      </c>
      <c r="D13" s="54" t="s">
        <v>29</v>
      </c>
      <c r="E13" s="54" t="s">
        <v>34</v>
      </c>
      <c r="F13" s="54" t="s">
        <v>35</v>
      </c>
      <c r="G13" s="54" t="s">
        <v>84</v>
      </c>
      <c r="H13" s="54" t="s">
        <v>85</v>
      </c>
      <c r="I13" s="54" t="s">
        <v>83</v>
      </c>
      <c r="J13" s="54" t="s">
        <v>101</v>
      </c>
      <c r="N13" s="58"/>
      <c r="O13" s="59"/>
      <c r="P13" s="61"/>
    </row>
    <row r="14" spans="2:16" ht="25.5" x14ac:dyDescent="0.2">
      <c r="B14" s="102" t="s">
        <v>103</v>
      </c>
      <c r="C14" s="103">
        <v>0.24</v>
      </c>
      <c r="D14" s="104"/>
      <c r="E14" s="105">
        <v>49000000</v>
      </c>
      <c r="F14" s="105">
        <v>99999999999999.906</v>
      </c>
      <c r="G14" s="105">
        <v>144000000</v>
      </c>
      <c r="H14" s="105">
        <v>700000000</v>
      </c>
      <c r="I14" s="106" t="str">
        <f>+CONCATENATE("Monto del crédito solicitado
(Entre Bs.",MID(G14,1,3),".",MID(G14,4,3),".",MID(G14,5,3)," y Bs.",MID(H14,1,3),".",MID(H14,3,3),".",MID(H14,5,3),")")</f>
        <v>Monto del crédito solicitado
(Entre Bs.144.000.000 y Bs.700.000.000)</v>
      </c>
      <c r="J14" s="106" t="str">
        <f>+CONCATENATE("Ingreso Mínimo Requerido Bs. ",MID(E14,1,2),".",MID(E14,3,3),".",MID(E14,4,3))</f>
        <v>Ingreso Mínimo Requerido Bs. 49.000.000</v>
      </c>
      <c r="N14" s="58"/>
      <c r="O14" s="59"/>
      <c r="P14" s="61"/>
    </row>
    <row r="15" spans="2:16" ht="25.5" x14ac:dyDescent="0.2">
      <c r="B15" s="102" t="s">
        <v>104</v>
      </c>
      <c r="C15" s="103">
        <v>0.24</v>
      </c>
      <c r="D15" s="104"/>
      <c r="E15" s="105">
        <v>49000000</v>
      </c>
      <c r="F15" s="105">
        <v>99999999999999.906</v>
      </c>
      <c r="G15" s="105">
        <v>144000000</v>
      </c>
      <c r="H15" s="105">
        <v>700000000</v>
      </c>
      <c r="I15" s="106" t="str">
        <f t="shared" ref="I15:I17" si="0">+CONCATENATE("Monto del crédito solicitado
(Entre Bs.",MID(G15,1,3),".",MID(G15,4,3),".",MID(G15,5,3)," y Bs.",MID(H15,1,3),".",MID(H15,3,3),".",MID(H15,5,3),")")</f>
        <v>Monto del crédito solicitado
(Entre Bs.144.000.000 y Bs.700.000.000)</v>
      </c>
      <c r="J15" s="106" t="str">
        <f t="shared" ref="J15:J20" si="1">+CONCATENATE("Ingreso Mínimo Requerido Bs. ",MID(E15,1,2),".",MID(E15,3,3),".",MID(E15,4,3))</f>
        <v>Ingreso Mínimo Requerido Bs. 49.000.000</v>
      </c>
      <c r="N15" s="58"/>
      <c r="O15" s="59"/>
      <c r="P15" s="61"/>
    </row>
    <row r="16" spans="2:16" ht="25.5" x14ac:dyDescent="0.2">
      <c r="B16" s="102" t="s">
        <v>105</v>
      </c>
      <c r="C16" s="103">
        <v>0.24</v>
      </c>
      <c r="D16" s="104"/>
      <c r="E16" s="105">
        <v>49000000</v>
      </c>
      <c r="F16" s="105">
        <v>99999999999999.906</v>
      </c>
      <c r="G16" s="105">
        <v>144000000</v>
      </c>
      <c r="H16" s="105">
        <v>700000000</v>
      </c>
      <c r="I16" s="106" t="str">
        <f t="shared" si="0"/>
        <v>Monto del crédito solicitado
(Entre Bs.144.000.000 y Bs.700.000.000)</v>
      </c>
      <c r="J16" s="106" t="str">
        <f t="shared" si="1"/>
        <v>Ingreso Mínimo Requerido Bs. 49.000.000</v>
      </c>
      <c r="N16" s="58"/>
      <c r="O16" s="59"/>
      <c r="P16" s="61"/>
    </row>
    <row r="17" spans="2:21" ht="25.5" x14ac:dyDescent="0.2">
      <c r="B17" s="170" t="s">
        <v>106</v>
      </c>
      <c r="C17" s="171">
        <v>0.24</v>
      </c>
      <c r="D17" s="172"/>
      <c r="E17" s="105">
        <v>49000000</v>
      </c>
      <c r="F17" s="173">
        <v>99999999999999.906</v>
      </c>
      <c r="G17" s="105">
        <v>144000000</v>
      </c>
      <c r="H17" s="105">
        <v>700000000</v>
      </c>
      <c r="I17" s="106" t="str">
        <f t="shared" si="0"/>
        <v>Monto del crédito solicitado
(Entre Bs.144.000.000 y Bs.700.000.000)</v>
      </c>
      <c r="J17" s="106" t="str">
        <f t="shared" si="1"/>
        <v>Ingreso Mínimo Requerido Bs. 49.000.000</v>
      </c>
      <c r="N17" s="58"/>
      <c r="O17" s="59"/>
      <c r="P17" s="61"/>
    </row>
    <row r="18" spans="2:21" ht="25.5" x14ac:dyDescent="0.2">
      <c r="B18" s="170" t="s">
        <v>112</v>
      </c>
      <c r="C18" s="171">
        <v>0.24</v>
      </c>
      <c r="D18" s="172"/>
      <c r="E18" s="105">
        <v>49000000</v>
      </c>
      <c r="F18" s="173">
        <v>99999999999999.906</v>
      </c>
      <c r="G18" s="105">
        <v>144000000</v>
      </c>
      <c r="H18" s="105">
        <v>9999999999999</v>
      </c>
      <c r="I18" s="174" t="str">
        <f>+CONCATENATE("Monto del crédito solicitado
(Desde Bs.",MID(G18,1,3),".",MID(G18,4,3),".",MID(G18,5,3),")")</f>
        <v>Monto del crédito solicitado
(Desde Bs.144.000.000)</v>
      </c>
      <c r="J18" s="106" t="str">
        <f t="shared" si="1"/>
        <v>Ingreso Mínimo Requerido Bs. 49.000.000</v>
      </c>
      <c r="N18" s="58"/>
      <c r="O18" s="59"/>
      <c r="P18" s="61"/>
    </row>
    <row r="19" spans="2:21" ht="25.5" x14ac:dyDescent="0.2">
      <c r="B19" s="102" t="s">
        <v>107</v>
      </c>
      <c r="C19" s="103">
        <v>0.24</v>
      </c>
      <c r="D19" s="104"/>
      <c r="E19" s="105">
        <v>49000000</v>
      </c>
      <c r="F19" s="105">
        <v>99999999999999.906</v>
      </c>
      <c r="G19" s="105">
        <v>144000000</v>
      </c>
      <c r="H19" s="105">
        <v>700000000</v>
      </c>
      <c r="I19" s="106" t="str">
        <f>+CONCATENATE("Monto del crédito solicitado
(Entre Bs.",MID(G19,1,3),".",MID(G19,4,3),".",MID(G19,5,3)," y Bs.",MID(H19,1,3),".",MID(H19,4,3),".",MID(H19,5,3),")")</f>
        <v>Monto del crédito solicitado
(Entre Bs.144.000.000 y Bs.700.000.000)</v>
      </c>
      <c r="J19" s="106" t="str">
        <f t="shared" si="1"/>
        <v>Ingreso Mínimo Requerido Bs. 49.000.000</v>
      </c>
      <c r="N19" s="58"/>
      <c r="O19" s="59"/>
      <c r="P19" s="61"/>
    </row>
    <row r="20" spans="2:21" ht="25.5" x14ac:dyDescent="0.2">
      <c r="B20" s="102" t="s">
        <v>114</v>
      </c>
      <c r="C20" s="103">
        <v>0.24</v>
      </c>
      <c r="D20" s="104"/>
      <c r="E20" s="105">
        <v>49000000</v>
      </c>
      <c r="F20" s="105">
        <v>99999999999999.906</v>
      </c>
      <c r="G20" s="105">
        <v>700000000</v>
      </c>
      <c r="H20" s="105">
        <v>1500000000</v>
      </c>
      <c r="I20" s="106" t="str">
        <f>+CONCATENATE("Monto del crédito solicitado
(Entre Bs.",MID(G20,1,3),".",MID(G20,2,3),".",MID(G20,5,3)," y Bs.",MID(H20,1,1),".",MID(H20,2,3),".",MID(H20,3,3),".",MID(H20,5,3),")")</f>
        <v>Monto del crédito solicitado
(Entre Bs.700.000.000 y Bs.1.500.000.000)</v>
      </c>
      <c r="J20" s="106" t="str">
        <f t="shared" si="1"/>
        <v>Ingreso Mínimo Requerido Bs. 49.000.000</v>
      </c>
      <c r="N20" s="58"/>
      <c r="O20" s="59"/>
      <c r="P20" s="61"/>
    </row>
    <row r="21" spans="2:21" ht="25.5" x14ac:dyDescent="0.2">
      <c r="B21" s="102" t="s">
        <v>108</v>
      </c>
      <c r="C21" s="175">
        <v>0.24</v>
      </c>
      <c r="D21" s="104"/>
      <c r="E21" s="105">
        <v>20200000</v>
      </c>
      <c r="F21" s="105">
        <v>99999999999999.906</v>
      </c>
      <c r="G21" s="105">
        <v>102000000</v>
      </c>
      <c r="H21" s="105">
        <v>700000000</v>
      </c>
      <c r="I21" s="106" t="str">
        <f>+CONCATENATE("Monto del crédito solicitado
(Entre Bs.",MID(G21,1,3),".",MID(G21,4,3),".",MID(G21,5,3)," y Bs.",MID(H21,1,3),".",MID(H21,3,3),".",MID(H21,5,3),")")</f>
        <v>Monto del crédito solicitado
(Entre Bs.102.000.000 y Bs.700.000.000)</v>
      </c>
      <c r="J21" s="106" t="str">
        <f>+CONCATENATE("Ingreso Mínimo Requerido Bs. ",MID(E21,1,2),".",MID(E21,3,3),".",MID(E21,4,3))</f>
        <v>Ingreso Mínimo Requerido Bs. 20.200.000</v>
      </c>
      <c r="N21" s="58"/>
      <c r="O21" s="59"/>
      <c r="P21" s="61"/>
    </row>
    <row r="22" spans="2:21" ht="24.75" customHeight="1" x14ac:dyDescent="0.2">
      <c r="B22" s="102" t="s">
        <v>109</v>
      </c>
      <c r="C22" s="103">
        <v>0.12</v>
      </c>
      <c r="D22" s="104"/>
      <c r="E22" s="105">
        <f t="shared" ref="E22" si="2">+$D$8</f>
        <v>3000000</v>
      </c>
      <c r="F22" s="105">
        <v>99999999999999.906</v>
      </c>
      <c r="G22" s="105">
        <v>100000</v>
      </c>
      <c r="H22" s="105">
        <v>300000</v>
      </c>
      <c r="I22" s="106" t="str">
        <f>+CONCATENATE("Monto del crédito solicitado
(Entre Bs.",MID(G22,1,3),".",MID(G22,3,3)," y Bs.",MID(H22,1,3),".",MID(H22,4,3),")")</f>
        <v>Monto del crédito solicitado
(Entre Bs.100.000 y Bs.300.000)</v>
      </c>
      <c r="J22" s="106" t="str">
        <f t="shared" ref="J22" si="3">+CONCATENATE("Ingreso Mínimo Requerido Bs. ",MID(E22,1,1),".",MID(E22,4,3),".",MID(E22,4,3))</f>
        <v>Ingreso Mínimo Requerido Bs. 3.000.000</v>
      </c>
      <c r="N22" s="58"/>
      <c r="O22" s="59"/>
      <c r="P22" s="61"/>
    </row>
    <row r="23" spans="2:21" ht="13.5" thickBot="1" x14ac:dyDescent="0.25">
      <c r="B23" s="107"/>
      <c r="C23" s="108"/>
      <c r="D23" s="109"/>
      <c r="E23" s="110"/>
      <c r="F23" s="110"/>
      <c r="G23" s="110"/>
      <c r="H23" s="110"/>
      <c r="I23" s="111"/>
      <c r="J23" s="111"/>
      <c r="N23" s="58"/>
      <c r="O23" s="59"/>
      <c r="P23" s="61"/>
    </row>
    <row r="24" spans="2:21" ht="13.5" thickTop="1" x14ac:dyDescent="0.2">
      <c r="B24" s="73"/>
      <c r="C24" s="74"/>
      <c r="D24" s="69"/>
      <c r="N24" s="58"/>
      <c r="O24" s="59"/>
      <c r="P24" s="61"/>
    </row>
    <row r="25" spans="2:21" x14ac:dyDescent="0.2">
      <c r="B25" s="73"/>
      <c r="C25" s="74"/>
      <c r="D25" s="69"/>
      <c r="N25" s="58"/>
      <c r="O25" s="59"/>
      <c r="P25" s="61"/>
    </row>
    <row r="26" spans="2:21" x14ac:dyDescent="0.2">
      <c r="B26" s="54" t="s">
        <v>19</v>
      </c>
      <c r="C26" s="54" t="s">
        <v>28</v>
      </c>
      <c r="D26" s="54" t="s">
        <v>29</v>
      </c>
      <c r="E26" s="54" t="s">
        <v>34</v>
      </c>
      <c r="F26" s="54" t="s">
        <v>35</v>
      </c>
      <c r="G26" s="54" t="s">
        <v>84</v>
      </c>
      <c r="H26" s="54" t="s">
        <v>85</v>
      </c>
      <c r="I26" s="54" t="s">
        <v>83</v>
      </c>
      <c r="J26" s="54" t="s">
        <v>101</v>
      </c>
      <c r="N26" s="58">
        <v>1.2</v>
      </c>
      <c r="O26" s="59">
        <v>0.74839999999999995</v>
      </c>
      <c r="P26" s="61" t="e">
        <f>+IF(#REF!="","",IF(AND(#REF!&gt;=N26,#REF!&lt;N27),O26,""))</f>
        <v>#REF!</v>
      </c>
    </row>
    <row r="27" spans="2:21" ht="30.75" customHeight="1" x14ac:dyDescent="0.2">
      <c r="B27" s="184" t="str">
        <f>+IF(Tabla!C12="","",Tabla!C12)</f>
        <v/>
      </c>
      <c r="C27" s="117" t="e">
        <f>+IF(Tabla!D17="",C28,MIN(C28:C29))</f>
        <v>#N/A</v>
      </c>
      <c r="D27" s="115" t="str">
        <f>+IF(Tabla!D19="",D28,MIN(D28:D29))</f>
        <v/>
      </c>
      <c r="E27" s="118" t="e">
        <f>+VLOOKUP($B27,$B$13:$I$23,E12,FALSE)</f>
        <v>#N/A</v>
      </c>
      <c r="F27" s="119" t="e">
        <f>+VLOOKUP($B27,$B$13:$I$23,F12,FALSE)</f>
        <v>#N/A</v>
      </c>
      <c r="G27" s="120" t="e">
        <f>+VLOOKUP($B27,$B$13:$I$23,G12,FALSE)</f>
        <v>#N/A</v>
      </c>
      <c r="H27" s="120" t="e">
        <f>+VLOOKUP($B27,$B$13:$I$23,H12,FALSE)</f>
        <v>#N/A</v>
      </c>
      <c r="I27" s="116" t="e">
        <f>+VLOOKUP($B27,$B$13:$I$23,I12,FALSE)</f>
        <v>#N/A</v>
      </c>
      <c r="J27" s="116" t="e">
        <f>+VLOOKUP($B27,$B$13:$J$23,J12,FALSE)</f>
        <v>#N/A</v>
      </c>
      <c r="N27" s="58">
        <v>1.3</v>
      </c>
      <c r="O27" s="59">
        <v>0.72260000000000002</v>
      </c>
      <c r="P27" s="61" t="e">
        <f>+IF(#REF!="","",IF(AND(#REF!&gt;=N27,#REF!&lt;N28),O27,""))</f>
        <v>#REF!</v>
      </c>
    </row>
    <row r="28" spans="2:21" ht="13.5" thickBot="1" x14ac:dyDescent="0.25">
      <c r="B28" s="62"/>
      <c r="C28" s="121" t="e">
        <f>+VLOOKUP($B27,$B$13:$I$23,C12,FALSE)</f>
        <v>#N/A</v>
      </c>
      <c r="D28" s="63" t="str">
        <f>IF(Tabla!C12="","",Tabla!D18)</f>
        <v/>
      </c>
      <c r="E28" s="60"/>
      <c r="F28" s="63"/>
      <c r="G28" s="63"/>
      <c r="H28" s="63"/>
      <c r="I28" s="63"/>
      <c r="J28" s="63"/>
      <c r="N28" s="58">
        <v>1.4</v>
      </c>
      <c r="O28" s="59">
        <v>0.69679999999999997</v>
      </c>
      <c r="P28" s="61" t="e">
        <f>+IF(#REF!="","",IF(AND(#REF!&gt;=N28,#REF!&lt;N29),O28,""))</f>
        <v>#REF!</v>
      </c>
    </row>
    <row r="29" spans="2:21" ht="13.5" thickBot="1" x14ac:dyDescent="0.25">
      <c r="B29" s="62" t="s">
        <v>86</v>
      </c>
      <c r="C29" s="121">
        <f>+Tabla!D17</f>
        <v>0</v>
      </c>
      <c r="D29" s="63">
        <f>+Tabla!D19</f>
        <v>0</v>
      </c>
      <c r="E29" s="64"/>
      <c r="N29" s="58">
        <v>1.5</v>
      </c>
      <c r="O29" s="59">
        <v>0.67100000000000004</v>
      </c>
      <c r="P29" s="61" t="e">
        <f>+IF(#REF!="","",IF(AND(#REF!&gt;=N29,#REF!&lt;N30),O29,""))</f>
        <v>#REF!</v>
      </c>
    </row>
    <row r="30" spans="2:21" x14ac:dyDescent="0.2">
      <c r="N30" s="58">
        <v>1.6</v>
      </c>
      <c r="O30" s="59">
        <v>0.6452</v>
      </c>
      <c r="P30" s="61" t="e">
        <f>+IF(#REF!="","",IF(AND(#REF!&gt;=N30,#REF!&lt;N5),O30,""))</f>
        <v>#REF!</v>
      </c>
    </row>
    <row r="31" spans="2:21" x14ac:dyDescent="0.2">
      <c r="B31" s="77"/>
      <c r="C31" s="77"/>
      <c r="D31" s="77"/>
      <c r="N31" s="78">
        <v>3.1</v>
      </c>
      <c r="O31" s="79">
        <v>0.2581</v>
      </c>
      <c r="P31" s="61" t="e">
        <f>+IF(#REF!="","",IF(AND(#REF!&gt;=N31,#REF!&lt;N32),O31,""))</f>
        <v>#REF!</v>
      </c>
    </row>
    <row r="32" spans="2:21" x14ac:dyDescent="0.2">
      <c r="B32" s="54" t="s">
        <v>96</v>
      </c>
      <c r="C32" s="193"/>
      <c r="D32" s="192"/>
      <c r="E32" s="81"/>
      <c r="F32" s="81"/>
      <c r="G32" s="81"/>
      <c r="H32" s="81"/>
      <c r="I32" s="81"/>
      <c r="J32" s="80"/>
      <c r="K32" s="80"/>
      <c r="M32" s="82"/>
      <c r="N32" s="78">
        <v>3.2</v>
      </c>
      <c r="O32" s="83">
        <v>0.23230000000000001</v>
      </c>
      <c r="P32" s="61" t="e">
        <f>+IF(#REF!="","",IF(AND(#REF!&gt;=N32,#REF!&lt;N33),O32,""))</f>
        <v>#REF!</v>
      </c>
      <c r="S32" s="77"/>
      <c r="T32" s="84"/>
      <c r="U32" s="85"/>
    </row>
    <row r="33" spans="2:21" x14ac:dyDescent="0.2">
      <c r="B33" s="54" t="s">
        <v>87</v>
      </c>
      <c r="C33" s="54" t="s">
        <v>88</v>
      </c>
      <c r="D33" s="86" t="s">
        <v>3</v>
      </c>
      <c r="E33" s="86" t="s">
        <v>4</v>
      </c>
      <c r="F33" s="87" t="s">
        <v>2</v>
      </c>
      <c r="G33" s="86" t="s">
        <v>4</v>
      </c>
      <c r="H33" s="122"/>
      <c r="I33" s="122"/>
      <c r="L33" s="82"/>
      <c r="M33" s="77"/>
      <c r="N33" s="58">
        <v>3.3</v>
      </c>
      <c r="O33" s="59">
        <v>0.20649999999999999</v>
      </c>
      <c r="P33" s="61" t="e">
        <f>+IF(#REF!="","",IF(AND(#REF!&gt;=N33,#REF!&lt;N34),O33,""))</f>
        <v>#REF!</v>
      </c>
      <c r="Q33" s="77"/>
      <c r="S33" s="77"/>
      <c r="T33" s="88"/>
      <c r="U33" s="89"/>
    </row>
    <row r="34" spans="2:21" x14ac:dyDescent="0.2">
      <c r="B34" s="151">
        <f>+SM</f>
        <v>3000000</v>
      </c>
      <c r="C34" s="151">
        <f>+B34+H34</f>
        <v>3030000</v>
      </c>
      <c r="D34" s="152">
        <v>10</v>
      </c>
      <c r="E34" s="152">
        <v>1</v>
      </c>
      <c r="F34" s="153" t="str">
        <f>IF(AND((($C$55*80%)+(50%*$C$56))&gt;=B34,(($C$55*80%)+(50%*$C$56))&lt;C34),D34,"")</f>
        <v/>
      </c>
      <c r="G34" s="154" t="str">
        <f>IF(AND((($C$55*80%)+(50%*$C$56))&gt;=B34,(($C$55*80%)+(50%*$C$56))&lt;C34),E34,"")</f>
        <v/>
      </c>
      <c r="H34" s="123">
        <v>30000</v>
      </c>
      <c r="I34" s="123"/>
      <c r="J34" s="55">
        <v>1</v>
      </c>
      <c r="K34" s="151">
        <v>1500</v>
      </c>
      <c r="L34" s="151">
        <v>3000</v>
      </c>
      <c r="M34" s="85"/>
      <c r="N34" s="58">
        <v>3.4</v>
      </c>
      <c r="O34" s="59">
        <v>0.18060000000000001</v>
      </c>
      <c r="P34" s="61" t="e">
        <f>+IF(#REF!="","",IF(AND(#REF!&gt;=N34,#REF!&lt;N35),O34,""))</f>
        <v>#REF!</v>
      </c>
      <c r="Q34" s="90"/>
      <c r="S34" s="77"/>
      <c r="T34" s="91"/>
      <c r="U34" s="91"/>
    </row>
    <row r="35" spans="2:21" x14ac:dyDescent="0.2">
      <c r="B35" s="155">
        <f>+C34</f>
        <v>3030000</v>
      </c>
      <c r="C35" s="155">
        <f t="shared" ref="C35:C49" si="4">+B35+H35</f>
        <v>3075000</v>
      </c>
      <c r="D35" s="156">
        <v>10</v>
      </c>
      <c r="E35" s="156">
        <v>1</v>
      </c>
      <c r="F35" s="157" t="str">
        <f>IF(AND((($C$55*80%)+(50%*$C$56))&gt;=B35,(($C$55*80%)+(50%*$C$56))&lt;C35),D35,"")</f>
        <v/>
      </c>
      <c r="G35" s="158" t="str">
        <f>IF(AND((($C$55*80%)+(50%*$C$56))&gt;=B35,(($C$55*80%)+(50%*$C$56))&lt;C35),E35,"")</f>
        <v/>
      </c>
      <c r="H35" s="123">
        <v>45000</v>
      </c>
      <c r="I35" s="123"/>
      <c r="J35" s="55">
        <v>1</v>
      </c>
      <c r="K35" s="155">
        <v>3001</v>
      </c>
      <c r="L35" s="155">
        <v>4500</v>
      </c>
      <c r="M35" s="85"/>
      <c r="N35" s="58">
        <v>3.5</v>
      </c>
      <c r="O35" s="59">
        <v>0.15479999999999999</v>
      </c>
      <c r="P35" s="61" t="e">
        <f>+IF(#REF!="","",IF(AND(#REF!&gt;=N35,#REF!&lt;N36),O35,""))</f>
        <v>#REF!</v>
      </c>
      <c r="Q35" s="92"/>
      <c r="S35" s="77"/>
      <c r="T35" s="77"/>
      <c r="U35" s="77"/>
    </row>
    <row r="36" spans="2:21" x14ac:dyDescent="0.2">
      <c r="B36" s="155">
        <f t="shared" ref="B36:B49" si="5">+C35</f>
        <v>3075000</v>
      </c>
      <c r="C36" s="155">
        <f t="shared" si="4"/>
        <v>3130000</v>
      </c>
      <c r="D36" s="156">
        <v>10</v>
      </c>
      <c r="E36" s="156">
        <v>1.25</v>
      </c>
      <c r="F36" s="157" t="str">
        <f t="shared" ref="F36:F49" si="6">IF(AND((($C$55*80%)+(50%*$C$56))&gt;=B36,(($C$55*80%)+(50%*$C$56))&lt;C36),D36,"")</f>
        <v/>
      </c>
      <c r="G36" s="158" t="str">
        <f t="shared" ref="G36:G49" si="7">IF(AND((($C$55*80%)+(50%*$C$56))&gt;=B36,(($C$55*80%)+(50%*$C$56))&lt;C36),E36,"")</f>
        <v/>
      </c>
      <c r="H36" s="123">
        <v>55000</v>
      </c>
      <c r="I36" s="123"/>
      <c r="J36" s="55">
        <v>1.25</v>
      </c>
      <c r="K36" s="155">
        <v>4501</v>
      </c>
      <c r="L36" s="155">
        <v>5500</v>
      </c>
      <c r="M36" s="85"/>
      <c r="N36" s="58">
        <v>3.6</v>
      </c>
      <c r="O36" s="59">
        <v>0.129</v>
      </c>
      <c r="P36" s="61" t="e">
        <f>+IF(#REF!="","",IF(AND(#REF!&gt;=N36,#REF!&lt;N37),O36,""))</f>
        <v>#REF!</v>
      </c>
      <c r="Q36" s="92"/>
      <c r="S36" s="93"/>
      <c r="T36" s="90"/>
      <c r="U36" s="90"/>
    </row>
    <row r="37" spans="2:21" x14ac:dyDescent="0.2">
      <c r="B37" s="155">
        <f t="shared" si="5"/>
        <v>3130000</v>
      </c>
      <c r="C37" s="155">
        <f t="shared" si="4"/>
        <v>3205000</v>
      </c>
      <c r="D37" s="156">
        <v>10</v>
      </c>
      <c r="E37" s="156">
        <v>1.5</v>
      </c>
      <c r="F37" s="157" t="str">
        <f t="shared" si="6"/>
        <v/>
      </c>
      <c r="G37" s="158" t="str">
        <f t="shared" si="7"/>
        <v/>
      </c>
      <c r="H37" s="123">
        <v>75000</v>
      </c>
      <c r="I37" s="123"/>
      <c r="J37" s="55">
        <v>1.25</v>
      </c>
      <c r="K37" s="155">
        <v>5501</v>
      </c>
      <c r="L37" s="155">
        <v>7500</v>
      </c>
      <c r="M37" s="85"/>
      <c r="N37" s="58">
        <v>3.7</v>
      </c>
      <c r="O37" s="59">
        <v>0.1032</v>
      </c>
      <c r="P37" s="61" t="e">
        <f>+IF(#REF!="","",IF(AND(#REF!&gt;=N37,#REF!&lt;N38),O37,""))</f>
        <v>#REF!</v>
      </c>
      <c r="Q37" s="92"/>
      <c r="S37" s="85"/>
      <c r="T37" s="90"/>
      <c r="U37" s="90"/>
    </row>
    <row r="38" spans="2:21" x14ac:dyDescent="0.2">
      <c r="B38" s="155">
        <f t="shared" si="5"/>
        <v>3205000</v>
      </c>
      <c r="C38" s="155">
        <f t="shared" si="4"/>
        <v>3310000</v>
      </c>
      <c r="D38" s="156">
        <v>10</v>
      </c>
      <c r="E38" s="156">
        <v>1.75</v>
      </c>
      <c r="F38" s="157" t="str">
        <f t="shared" si="6"/>
        <v/>
      </c>
      <c r="G38" s="158" t="str">
        <f t="shared" si="7"/>
        <v/>
      </c>
      <c r="H38" s="123">
        <v>105000</v>
      </c>
      <c r="I38" s="123"/>
      <c r="J38" s="55">
        <v>1.5</v>
      </c>
      <c r="K38" s="155">
        <v>7501</v>
      </c>
      <c r="L38" s="155">
        <v>10500</v>
      </c>
      <c r="M38" s="85"/>
      <c r="N38" s="78">
        <v>3.8</v>
      </c>
      <c r="O38" s="79">
        <v>7.7399999999999997E-2</v>
      </c>
      <c r="P38" s="61" t="e">
        <f>+IF(#REF!="","",IF(AND(#REF!&gt;=N38,#REF!&lt;N39),O38,""))</f>
        <v>#REF!</v>
      </c>
      <c r="Q38" s="92"/>
      <c r="S38" s="85"/>
      <c r="T38" s="90"/>
      <c r="U38" s="90"/>
    </row>
    <row r="39" spans="2:21" x14ac:dyDescent="0.2">
      <c r="B39" s="155">
        <f t="shared" si="5"/>
        <v>3310000</v>
      </c>
      <c r="C39" s="155">
        <f t="shared" si="4"/>
        <v>3435000</v>
      </c>
      <c r="D39" s="156">
        <v>10</v>
      </c>
      <c r="E39" s="156">
        <v>2</v>
      </c>
      <c r="F39" s="157" t="str">
        <f t="shared" si="6"/>
        <v/>
      </c>
      <c r="G39" s="158" t="str">
        <f t="shared" si="7"/>
        <v/>
      </c>
      <c r="H39" s="123">
        <v>125000</v>
      </c>
      <c r="I39" s="123"/>
      <c r="J39" s="55">
        <v>1.5</v>
      </c>
      <c r="K39" s="155">
        <v>10501</v>
      </c>
      <c r="L39" s="155">
        <v>12500</v>
      </c>
      <c r="M39" s="82"/>
      <c r="N39" s="78">
        <v>3.9</v>
      </c>
      <c r="O39" s="79">
        <v>5.16E-2</v>
      </c>
      <c r="P39" s="61" t="e">
        <f>+IF(#REF!="","",IF(AND(#REF!&gt;=N39,#REF!&lt;N40),O39,""))</f>
        <v>#REF!</v>
      </c>
      <c r="Q39" s="82"/>
      <c r="S39" s="85"/>
      <c r="T39" s="90"/>
      <c r="U39" s="90"/>
    </row>
    <row r="40" spans="2:21" x14ac:dyDescent="0.2">
      <c r="B40" s="155">
        <f t="shared" si="5"/>
        <v>3435000</v>
      </c>
      <c r="C40" s="155">
        <f t="shared" si="4"/>
        <v>3590000</v>
      </c>
      <c r="D40" s="156">
        <v>10</v>
      </c>
      <c r="E40" s="156">
        <v>2.1</v>
      </c>
      <c r="F40" s="157" t="str">
        <f t="shared" si="6"/>
        <v/>
      </c>
      <c r="G40" s="158" t="str">
        <f t="shared" si="7"/>
        <v/>
      </c>
      <c r="H40" s="123">
        <v>155000</v>
      </c>
      <c r="I40" s="123"/>
      <c r="J40" s="55">
        <v>1.75</v>
      </c>
      <c r="K40" s="155">
        <v>12501</v>
      </c>
      <c r="L40" s="155">
        <v>15500</v>
      </c>
      <c r="M40" s="82"/>
      <c r="N40" s="78">
        <v>4</v>
      </c>
      <c r="O40" s="79">
        <v>2.58E-2</v>
      </c>
      <c r="P40" s="61" t="e">
        <f>+IF(#REF!="","",IF(AND(#REF!&gt;=N40,#REF!&lt;N41),O40,""))</f>
        <v>#REF!</v>
      </c>
      <c r="Q40" s="82"/>
      <c r="S40" s="85"/>
      <c r="T40" s="90"/>
      <c r="U40" s="90"/>
    </row>
    <row r="41" spans="2:21" x14ac:dyDescent="0.2">
      <c r="B41" s="155">
        <f t="shared" si="5"/>
        <v>3590000</v>
      </c>
      <c r="C41" s="155">
        <f t="shared" si="4"/>
        <v>3775000</v>
      </c>
      <c r="D41" s="156">
        <v>10</v>
      </c>
      <c r="E41" s="156">
        <v>2.25</v>
      </c>
      <c r="F41" s="157" t="str">
        <f t="shared" si="6"/>
        <v/>
      </c>
      <c r="G41" s="158" t="str">
        <f t="shared" si="7"/>
        <v/>
      </c>
      <c r="H41" s="123">
        <v>185000</v>
      </c>
      <c r="I41" s="123"/>
      <c r="J41" s="55">
        <v>2.25</v>
      </c>
      <c r="K41" s="155">
        <v>15501</v>
      </c>
      <c r="L41" s="155">
        <v>18500</v>
      </c>
      <c r="M41" s="82"/>
      <c r="N41" s="78" t="s">
        <v>72</v>
      </c>
      <c r="O41" s="79">
        <v>0</v>
      </c>
      <c r="P41" s="61" t="e">
        <f>+IF(#REF!="","",IF(AND(#REF!&gt;=N41,#REF!&lt;N42),O41,""))</f>
        <v>#REF!</v>
      </c>
      <c r="Q41" s="82"/>
      <c r="S41" s="85"/>
      <c r="T41" s="90"/>
      <c r="U41" s="90"/>
    </row>
    <row r="42" spans="2:21" x14ac:dyDescent="0.2">
      <c r="B42" s="155">
        <f t="shared" si="5"/>
        <v>3775000</v>
      </c>
      <c r="C42" s="155">
        <f t="shared" si="4"/>
        <v>3990000</v>
      </c>
      <c r="D42" s="156">
        <v>10</v>
      </c>
      <c r="E42" s="156">
        <v>2.5</v>
      </c>
      <c r="F42" s="157" t="str">
        <f t="shared" si="6"/>
        <v/>
      </c>
      <c r="G42" s="158" t="str">
        <f t="shared" si="7"/>
        <v/>
      </c>
      <c r="H42" s="123">
        <v>215000</v>
      </c>
      <c r="I42" s="123"/>
      <c r="J42" s="55">
        <v>2.5</v>
      </c>
      <c r="K42" s="155">
        <v>18501</v>
      </c>
      <c r="L42" s="155">
        <v>21500</v>
      </c>
      <c r="M42" s="82"/>
      <c r="Q42" s="82"/>
      <c r="S42" s="85"/>
      <c r="T42" s="90"/>
      <c r="U42" s="90"/>
    </row>
    <row r="43" spans="2:21" x14ac:dyDescent="0.2">
      <c r="B43" s="155">
        <f t="shared" si="5"/>
        <v>3990000</v>
      </c>
      <c r="C43" s="155">
        <f t="shared" si="4"/>
        <v>4245000</v>
      </c>
      <c r="D43" s="156">
        <v>10</v>
      </c>
      <c r="E43" s="156">
        <v>2.75</v>
      </c>
      <c r="F43" s="157" t="str">
        <f t="shared" si="6"/>
        <v/>
      </c>
      <c r="G43" s="158" t="str">
        <f t="shared" si="7"/>
        <v/>
      </c>
      <c r="H43" s="123">
        <v>255000</v>
      </c>
      <c r="I43" s="123"/>
      <c r="J43" s="55">
        <v>2.75</v>
      </c>
      <c r="K43" s="155">
        <v>21501</v>
      </c>
      <c r="L43" s="155">
        <v>25500</v>
      </c>
      <c r="M43" s="82"/>
      <c r="Q43" s="82"/>
      <c r="S43" s="85"/>
      <c r="T43" s="90"/>
      <c r="U43" s="90"/>
    </row>
    <row r="44" spans="2:21" x14ac:dyDescent="0.2">
      <c r="B44" s="155">
        <f t="shared" si="5"/>
        <v>4245000</v>
      </c>
      <c r="C44" s="155">
        <f t="shared" si="4"/>
        <v>4550000</v>
      </c>
      <c r="D44" s="156">
        <v>10</v>
      </c>
      <c r="E44" s="156">
        <v>3</v>
      </c>
      <c r="F44" s="157" t="str">
        <f t="shared" si="6"/>
        <v/>
      </c>
      <c r="G44" s="158" t="str">
        <f t="shared" si="7"/>
        <v/>
      </c>
      <c r="H44" s="123">
        <v>305000</v>
      </c>
      <c r="I44" s="123"/>
      <c r="J44" s="55">
        <v>3</v>
      </c>
      <c r="K44" s="155">
        <v>25501</v>
      </c>
      <c r="L44" s="155">
        <v>30500</v>
      </c>
      <c r="M44" s="82"/>
      <c r="Q44" s="82"/>
      <c r="S44" s="85"/>
      <c r="T44" s="90"/>
      <c r="U44" s="90"/>
    </row>
    <row r="45" spans="2:21" x14ac:dyDescent="0.2">
      <c r="B45" s="155">
        <f t="shared" si="5"/>
        <v>4550000</v>
      </c>
      <c r="C45" s="155">
        <f t="shared" si="4"/>
        <v>4950000</v>
      </c>
      <c r="D45" s="156">
        <v>10</v>
      </c>
      <c r="E45" s="156">
        <v>3.1</v>
      </c>
      <c r="F45" s="157" t="str">
        <f t="shared" si="6"/>
        <v/>
      </c>
      <c r="G45" s="158" t="str">
        <f t="shared" si="7"/>
        <v/>
      </c>
      <c r="H45" s="123">
        <v>400000</v>
      </c>
      <c r="I45" s="123"/>
      <c r="J45" s="55">
        <v>3.1</v>
      </c>
      <c r="K45" s="155">
        <v>30501</v>
      </c>
      <c r="L45" s="155">
        <v>40000</v>
      </c>
      <c r="M45" s="82"/>
      <c r="N45" s="82"/>
      <c r="O45" s="82"/>
      <c r="P45" s="82"/>
      <c r="Q45" s="82"/>
      <c r="S45" s="85"/>
      <c r="T45" s="90"/>
      <c r="U45" s="90"/>
    </row>
    <row r="46" spans="2:21" x14ac:dyDescent="0.2">
      <c r="B46" s="155">
        <f t="shared" si="5"/>
        <v>4950000</v>
      </c>
      <c r="C46" s="155">
        <f t="shared" si="4"/>
        <v>5450000</v>
      </c>
      <c r="D46" s="156">
        <v>10</v>
      </c>
      <c r="E46" s="156">
        <v>3.25</v>
      </c>
      <c r="F46" s="157" t="str">
        <f t="shared" si="6"/>
        <v/>
      </c>
      <c r="G46" s="158" t="str">
        <f t="shared" si="7"/>
        <v/>
      </c>
      <c r="H46" s="123">
        <v>500000</v>
      </c>
      <c r="I46" s="123"/>
      <c r="J46" s="55">
        <v>3.25</v>
      </c>
      <c r="K46" s="155">
        <v>40001</v>
      </c>
      <c r="L46" s="155">
        <v>50000</v>
      </c>
      <c r="M46" s="82"/>
      <c r="N46" s="82"/>
      <c r="O46" s="82"/>
      <c r="P46" s="82"/>
      <c r="Q46" s="82"/>
      <c r="S46" s="85"/>
      <c r="T46" s="90"/>
      <c r="U46" s="90"/>
    </row>
    <row r="47" spans="2:21" x14ac:dyDescent="0.2">
      <c r="B47" s="155">
        <f t="shared" si="5"/>
        <v>5450000</v>
      </c>
      <c r="C47" s="155">
        <f t="shared" si="4"/>
        <v>6050000</v>
      </c>
      <c r="D47" s="156">
        <v>10</v>
      </c>
      <c r="E47" s="156">
        <v>3.5</v>
      </c>
      <c r="F47" s="157" t="str">
        <f t="shared" si="6"/>
        <v/>
      </c>
      <c r="G47" s="158" t="str">
        <f t="shared" si="7"/>
        <v/>
      </c>
      <c r="H47" s="123">
        <v>600000</v>
      </c>
      <c r="I47" s="123"/>
      <c r="J47" s="55">
        <v>3.5</v>
      </c>
      <c r="K47" s="155">
        <v>50001</v>
      </c>
      <c r="L47" s="155">
        <v>60000</v>
      </c>
      <c r="M47" s="82"/>
      <c r="N47" s="82"/>
      <c r="O47" s="82"/>
      <c r="P47" s="82"/>
      <c r="Q47" s="82"/>
      <c r="S47" s="85"/>
      <c r="T47" s="90"/>
      <c r="U47" s="90"/>
    </row>
    <row r="48" spans="2:21" x14ac:dyDescent="0.2">
      <c r="B48" s="155">
        <f t="shared" si="5"/>
        <v>6050000</v>
      </c>
      <c r="C48" s="155">
        <f t="shared" si="4"/>
        <v>6850000</v>
      </c>
      <c r="D48" s="156">
        <v>10</v>
      </c>
      <c r="E48" s="156">
        <v>3.75</v>
      </c>
      <c r="F48" s="157" t="str">
        <f t="shared" si="6"/>
        <v/>
      </c>
      <c r="G48" s="158" t="str">
        <f t="shared" si="7"/>
        <v/>
      </c>
      <c r="H48" s="123">
        <v>800000</v>
      </c>
      <c r="I48" s="123"/>
      <c r="J48" s="55">
        <v>3.75</v>
      </c>
      <c r="K48" s="155">
        <v>60001</v>
      </c>
      <c r="L48" s="155">
        <v>80000</v>
      </c>
      <c r="M48" s="82"/>
      <c r="N48" s="82"/>
      <c r="O48" s="82"/>
      <c r="P48" s="82"/>
      <c r="Q48" s="82"/>
      <c r="S48" s="85"/>
      <c r="T48" s="90"/>
      <c r="U48" s="90"/>
    </row>
    <row r="49" spans="2:21" x14ac:dyDescent="0.2">
      <c r="B49" s="155">
        <f t="shared" si="5"/>
        <v>6850000</v>
      </c>
      <c r="C49" s="155">
        <f t="shared" si="4"/>
        <v>7850000</v>
      </c>
      <c r="D49" s="156">
        <v>10</v>
      </c>
      <c r="E49" s="156">
        <v>4</v>
      </c>
      <c r="F49" s="157" t="str">
        <f t="shared" si="6"/>
        <v/>
      </c>
      <c r="G49" s="158" t="str">
        <f t="shared" si="7"/>
        <v/>
      </c>
      <c r="H49" s="123">
        <v>1000000</v>
      </c>
      <c r="I49" s="123"/>
      <c r="J49" s="55">
        <v>4</v>
      </c>
      <c r="K49" s="155">
        <v>80001</v>
      </c>
      <c r="L49" s="155">
        <v>100000</v>
      </c>
      <c r="M49" s="82"/>
      <c r="N49" s="82"/>
      <c r="O49" s="82"/>
      <c r="P49" s="82"/>
      <c r="Q49" s="82"/>
      <c r="S49" s="85"/>
      <c r="T49" s="90"/>
      <c r="U49" s="90"/>
    </row>
    <row r="50" spans="2:21" ht="13.5" thickBot="1" x14ac:dyDescent="0.25">
      <c r="B50" s="159">
        <f>+C49</f>
        <v>7850000</v>
      </c>
      <c r="C50" s="159">
        <v>999999999</v>
      </c>
      <c r="D50" s="160">
        <v>10</v>
      </c>
      <c r="E50" s="160">
        <v>4.0999999999999996</v>
      </c>
      <c r="F50" s="161" t="str">
        <f>IF(AND((($C$55*80%)+(50%*$C$56))&gt;=B50,(($C$55*80%)+(50%*$C$56))&lt;C50),D50,"")</f>
        <v/>
      </c>
      <c r="G50" s="162" t="str">
        <f>IF(AND((($C$55*80%)+(50%*$C$56))&gt;=B50,(($C$55*80%)+(50%*$C$56))&lt;C50),E50,"")</f>
        <v/>
      </c>
      <c r="H50" s="123">
        <v>999999999</v>
      </c>
      <c r="I50" s="123"/>
      <c r="J50" s="55">
        <v>4.0999999999999996</v>
      </c>
      <c r="K50" s="159">
        <v>100001</v>
      </c>
      <c r="L50" s="159">
        <v>999999999</v>
      </c>
      <c r="M50" s="94"/>
      <c r="N50" s="94"/>
      <c r="O50" s="82"/>
      <c r="P50" s="94"/>
      <c r="Q50" s="94"/>
      <c r="S50" s="85"/>
      <c r="T50" s="90"/>
      <c r="U50" s="90"/>
    </row>
    <row r="51" spans="2:21" x14ac:dyDescent="0.2">
      <c r="E51" s="94"/>
      <c r="F51" s="94"/>
      <c r="L51" s="94"/>
      <c r="M51" s="82"/>
      <c r="N51" s="82"/>
      <c r="O51" s="94"/>
      <c r="P51" s="94"/>
      <c r="Q51" s="94"/>
      <c r="S51" s="85"/>
      <c r="T51" s="90"/>
      <c r="U51" s="90"/>
    </row>
    <row r="52" spans="2:21" x14ac:dyDescent="0.2">
      <c r="E52" s="94"/>
      <c r="F52" s="94"/>
      <c r="M52" s="82"/>
      <c r="N52" s="82"/>
      <c r="O52" s="94"/>
      <c r="P52" s="94"/>
      <c r="Q52" s="94"/>
      <c r="S52" s="85"/>
      <c r="T52" s="90"/>
      <c r="U52" s="90"/>
    </row>
    <row r="53" spans="2:21" x14ac:dyDescent="0.2">
      <c r="B53" s="54" t="s">
        <v>73</v>
      </c>
      <c r="C53" s="54"/>
      <c r="D53" s="77"/>
    </row>
    <row r="54" spans="2:21" x14ac:dyDescent="0.2">
      <c r="B54" s="95" t="s">
        <v>89</v>
      </c>
      <c r="C54" s="76">
        <f>+Tabla!D15</f>
        <v>0</v>
      </c>
      <c r="D54" s="168" t="s">
        <v>97</v>
      </c>
      <c r="E54" s="168" t="s">
        <v>98</v>
      </c>
      <c r="F54" s="125"/>
      <c r="G54" s="125"/>
    </row>
    <row r="55" spans="2:21" x14ac:dyDescent="0.2">
      <c r="B55" s="95" t="s">
        <v>90</v>
      </c>
      <c r="C55" s="76">
        <f>+Tabla!D22</f>
        <v>0</v>
      </c>
      <c r="D55" s="169">
        <v>0.8</v>
      </c>
      <c r="E55" s="169">
        <v>0.5</v>
      </c>
      <c r="F55" s="125"/>
      <c r="G55" s="125"/>
    </row>
    <row r="56" spans="2:21" x14ac:dyDescent="0.2">
      <c r="B56" s="95" t="s">
        <v>92</v>
      </c>
      <c r="C56" s="76">
        <f>+Tabla!D23</f>
        <v>0</v>
      </c>
      <c r="D56" s="163">
        <f>+C55*D55</f>
        <v>0</v>
      </c>
      <c r="E56" s="163">
        <f>+C56*E55</f>
        <v>0</v>
      </c>
    </row>
    <row r="57" spans="2:21" x14ac:dyDescent="0.2">
      <c r="B57" s="95" t="s">
        <v>91</v>
      </c>
      <c r="C57" s="76">
        <f>+Tabla!D24</f>
        <v>0</v>
      </c>
      <c r="D57" s="149"/>
      <c r="F57" s="125"/>
      <c r="G57" s="125"/>
    </row>
    <row r="58" spans="2:21" x14ac:dyDescent="0.2">
      <c r="B58" s="95" t="s">
        <v>28</v>
      </c>
      <c r="C58" s="124" t="e">
        <f>+TI</f>
        <v>#N/A</v>
      </c>
      <c r="D58" s="168" t="s">
        <v>99</v>
      </c>
      <c r="F58" s="125"/>
      <c r="G58" s="125"/>
    </row>
    <row r="59" spans="2:21" x14ac:dyDescent="0.2">
      <c r="B59" s="96" t="s">
        <v>29</v>
      </c>
      <c r="C59" s="97" t="str">
        <f>+PM</f>
        <v/>
      </c>
      <c r="D59" s="167">
        <v>0.35</v>
      </c>
      <c r="F59" s="125"/>
      <c r="G59" s="125"/>
    </row>
    <row r="60" spans="2:21" x14ac:dyDescent="0.2">
      <c r="B60" s="96" t="s">
        <v>74</v>
      </c>
      <c r="C60" s="97">
        <f>+Tabla!D25</f>
        <v>0</v>
      </c>
      <c r="D60" s="167">
        <v>0.2</v>
      </c>
      <c r="F60" s="125"/>
      <c r="G60" s="125"/>
    </row>
    <row r="61" spans="2:21" x14ac:dyDescent="0.2">
      <c r="B61" s="127" t="s">
        <v>93</v>
      </c>
      <c r="C61" s="128">
        <f>+Tabla!D21</f>
        <v>0</v>
      </c>
      <c r="D61" s="165" t="str">
        <f>+IF(C61=0,"",IF(C61="Si",D59,D60))</f>
        <v/>
      </c>
      <c r="F61" s="125"/>
      <c r="G61" s="125"/>
    </row>
    <row r="62" spans="2:21" x14ac:dyDescent="0.2">
      <c r="B62" s="54" t="s">
        <v>75</v>
      </c>
      <c r="C62" s="54" t="s">
        <v>76</v>
      </c>
      <c r="D62" s="54" t="s">
        <v>77</v>
      </c>
      <c r="F62" s="125"/>
      <c r="G62" s="125"/>
    </row>
    <row r="63" spans="2:21" x14ac:dyDescent="0.2">
      <c r="B63" s="98" t="s">
        <v>5</v>
      </c>
      <c r="C63" s="126" t="e">
        <f>+C58</f>
        <v>#N/A</v>
      </c>
      <c r="D63" s="99"/>
      <c r="E63" s="166"/>
      <c r="F63" s="125"/>
      <c r="G63" s="125"/>
    </row>
    <row r="64" spans="2:21" x14ac:dyDescent="0.2">
      <c r="B64" s="98" t="s">
        <v>2</v>
      </c>
      <c r="C64" s="100">
        <f>SUM($F$34:$F$50)*$D$7</f>
        <v>0</v>
      </c>
      <c r="D64" s="100"/>
      <c r="E64" s="166"/>
      <c r="F64" s="125"/>
      <c r="G64" s="125"/>
    </row>
    <row r="65" spans="2:8" x14ac:dyDescent="0.2">
      <c r="B65" s="98" t="s">
        <v>4</v>
      </c>
      <c r="C65" s="101">
        <f>SUM($G$34:$G$50)</f>
        <v>0</v>
      </c>
      <c r="D65" s="101"/>
      <c r="E65" s="166"/>
      <c r="F65" s="125"/>
      <c r="G65" s="125"/>
    </row>
    <row r="66" spans="2:8" x14ac:dyDescent="0.2">
      <c r="B66" s="132" t="s">
        <v>0</v>
      </c>
      <c r="C66" s="133">
        <f>IF(ISERROR(D56+E56-C57-(1+C60)*C64*C65),"",D56+E56-C57-(1+C60)*C64*C65)</f>
        <v>0</v>
      </c>
      <c r="D66" s="133" t="str">
        <f>+IF(ISERROR(PV(C63/12,C59,-C66,0,0)),"",PV(C63/12,C59,-C66,0,0))</f>
        <v/>
      </c>
      <c r="E66" s="149"/>
      <c r="F66" s="125"/>
      <c r="G66" s="125"/>
      <c r="H66" s="164"/>
    </row>
    <row r="67" spans="2:8" x14ac:dyDescent="0.2">
      <c r="B67" s="98" t="s">
        <v>1</v>
      </c>
      <c r="C67" s="100">
        <f>+IF(C61=0,0,(D56+E56)*D61-C57)</f>
        <v>0</v>
      </c>
      <c r="D67" s="100" t="str">
        <f>IF(ISERROR(PV(C63/12,$C$59,-C67,0,0)),"",PV(C63/12,$C$59,-C67,0,0))</f>
        <v/>
      </c>
      <c r="F67" s="125"/>
      <c r="G67" s="125"/>
    </row>
    <row r="68" spans="2:8" x14ac:dyDescent="0.2">
      <c r="B68" s="98" t="s">
        <v>78</v>
      </c>
      <c r="C68" s="100"/>
      <c r="D68" s="100">
        <f>+C54</f>
        <v>0</v>
      </c>
      <c r="F68" s="125"/>
      <c r="G68" s="125"/>
    </row>
    <row r="69" spans="2:8" x14ac:dyDescent="0.2">
      <c r="B69" s="98" t="s">
        <v>79</v>
      </c>
      <c r="C69" s="100" t="e">
        <f>+PMT(C63/12,C59,-D69,0,0)</f>
        <v>#N/A</v>
      </c>
      <c r="D69" s="100">
        <f>+MIN(D66,D67,D68)</f>
        <v>0</v>
      </c>
      <c r="F69" s="125"/>
      <c r="G69" s="125"/>
    </row>
    <row r="70" spans="2:8" x14ac:dyDescent="0.2">
      <c r="B70" s="132" t="s">
        <v>27</v>
      </c>
      <c r="C70" s="133"/>
      <c r="D70" s="134" t="e">
        <f>+IF(AND((C55+C56)&lt;IMin,C61="No"),E9,IF(OR(D67&lt;=0,D66&lt;=0),"Capacidad de pago insuficiente",IF(AND(B27=B18,D69&lt;D68),"Máximo monto",IF(D69&lt;5000000,"Capacidad de pago insuficiente",IF(D69=C54,"Califica para el monto solicitado","Máximo monto")))))</f>
        <v>#N/A</v>
      </c>
      <c r="F70" s="125"/>
      <c r="G70" s="125"/>
      <c r="H70" s="150"/>
    </row>
    <row r="71" spans="2:8" x14ac:dyDescent="0.2">
      <c r="E71" s="166"/>
      <c r="F71" s="125"/>
      <c r="G71" s="125"/>
      <c r="H71" s="150"/>
    </row>
    <row r="72" spans="2:8" x14ac:dyDescent="0.2">
      <c r="E72" s="166"/>
      <c r="F72" s="125"/>
      <c r="G72" s="125"/>
      <c r="H72" s="149"/>
    </row>
    <row r="73" spans="2:8" x14ac:dyDescent="0.2">
      <c r="E73" s="166"/>
      <c r="F73" s="125"/>
      <c r="G73" s="125"/>
    </row>
    <row r="74" spans="2:8" ht="13.5" thickBot="1" x14ac:dyDescent="0.25">
      <c r="B74" s="54" t="s">
        <v>19</v>
      </c>
      <c r="C74" s="54" t="s">
        <v>102</v>
      </c>
      <c r="F74" s="125"/>
      <c r="G74" s="125"/>
    </row>
    <row r="75" spans="2:8" ht="13.5" thickBot="1" x14ac:dyDescent="0.25">
      <c r="B75" s="180" t="s">
        <v>94</v>
      </c>
      <c r="C75" s="182">
        <v>12</v>
      </c>
    </row>
    <row r="76" spans="2:8" ht="13.5" thickBot="1" x14ac:dyDescent="0.25">
      <c r="B76" s="180" t="s">
        <v>22</v>
      </c>
      <c r="C76" s="182">
        <v>12</v>
      </c>
    </row>
    <row r="77" spans="2:8" ht="13.5" thickBot="1" x14ac:dyDescent="0.25">
      <c r="B77" s="180" t="s">
        <v>113</v>
      </c>
      <c r="C77" s="182">
        <v>12</v>
      </c>
    </row>
    <row r="78" spans="2:8" ht="13.5" thickBot="1" x14ac:dyDescent="0.25">
      <c r="B78" s="180" t="s">
        <v>37</v>
      </c>
      <c r="C78" s="182">
        <v>12</v>
      </c>
    </row>
    <row r="79" spans="2:8" ht="13.5" thickBot="1" x14ac:dyDescent="0.25">
      <c r="B79" s="180" t="s">
        <v>82</v>
      </c>
      <c r="C79" s="182">
        <v>12</v>
      </c>
    </row>
    <row r="80" spans="2:8" ht="13.5" thickBot="1" x14ac:dyDescent="0.25">
      <c r="B80" s="180" t="s">
        <v>111</v>
      </c>
      <c r="C80" s="182">
        <v>12</v>
      </c>
    </row>
    <row r="81" spans="2:3" ht="13.5" thickBot="1" x14ac:dyDescent="0.25">
      <c r="B81" s="180" t="s">
        <v>58</v>
      </c>
      <c r="C81" s="182">
        <v>12</v>
      </c>
    </row>
    <row r="82" spans="2:3" x14ac:dyDescent="0.2">
      <c r="B82" s="181" t="s">
        <v>59</v>
      </c>
      <c r="C82" s="182">
        <v>12</v>
      </c>
    </row>
    <row r="83" spans="2:3" x14ac:dyDescent="0.2">
      <c r="B83" s="181" t="s">
        <v>59</v>
      </c>
      <c r="C83" s="183">
        <v>18</v>
      </c>
    </row>
    <row r="84" spans="2:3" x14ac:dyDescent="0.2">
      <c r="B84" s="181" t="s">
        <v>59</v>
      </c>
      <c r="C84" s="183">
        <v>24</v>
      </c>
    </row>
    <row r="85" spans="2:3" ht="13.5" thickBot="1" x14ac:dyDescent="0.25">
      <c r="B85" s="181" t="s">
        <v>59</v>
      </c>
      <c r="C85" s="183">
        <v>36</v>
      </c>
    </row>
    <row r="86" spans="2:3" x14ac:dyDescent="0.2">
      <c r="B86" s="180" t="s">
        <v>95</v>
      </c>
      <c r="C86" s="182">
        <v>12</v>
      </c>
    </row>
    <row r="87" spans="2:3" x14ac:dyDescent="0.2">
      <c r="B87" s="181" t="s">
        <v>95</v>
      </c>
      <c r="C87" s="183">
        <v>18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1" spans="1:1" x14ac:dyDescent="0.2">
      <c r="A11" t="s">
        <v>48</v>
      </c>
    </row>
    <row r="12" spans="1:1" x14ac:dyDescent="0.2">
      <c r="A12" t="s">
        <v>49</v>
      </c>
    </row>
    <row r="13" spans="1:1" x14ac:dyDescent="0.2">
      <c r="A1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Tabla</vt:lpstr>
      <vt:lpstr>Factor (2)</vt:lpstr>
      <vt:lpstr>Hoja2</vt:lpstr>
      <vt:lpstr>Alianza_Colegio_Integral_El_Ávila</vt:lpstr>
      <vt:lpstr>Tabla!Área_de_impresión</vt:lpstr>
      <vt:lpstr>Cliente</vt:lpstr>
      <vt:lpstr>Créditos_para_Participantes_del_IESA</vt:lpstr>
      <vt:lpstr>Forma</vt:lpstr>
      <vt:lpstr>IMax</vt:lpstr>
      <vt:lpstr>IMin</vt:lpstr>
      <vt:lpstr>Línea_Educativa_Bancaribe</vt:lpstr>
      <vt:lpstr>Línea_Musical_Bancaribe</vt:lpstr>
      <vt:lpstr>Línea_Nómina</vt:lpstr>
      <vt:lpstr>Línea_Nueva_Vida</vt:lpstr>
      <vt:lpstr>Línea_Nueva_Vida_Unifertes</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2014-11-26T14:23:55Z</cp:lastPrinted>
  <dcterms:created xsi:type="dcterms:W3CDTF">2014-04-30T19:54:20Z</dcterms:created>
  <dcterms:modified xsi:type="dcterms:W3CDTF">2018-08-06T12:57:31Z</dcterms:modified>
</cp:coreProperties>
</file>