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ap10063\Riesgo_de_Crédito\09.Simuladores_(Ocasional)\02. Intranet-Web\54. Nuevos lineamientos simuladores\"/>
    </mc:Choice>
  </mc:AlternateContent>
  <workbookProtection workbookPassword="CB1F" lockStructure="1"/>
  <bookViews>
    <workbookView showSheetTabs="0" xWindow="0" yWindow="0" windowWidth="15480" windowHeight="10995" tabRatio="745"/>
  </bookViews>
  <sheets>
    <sheet name="Tabla" sheetId="2" r:id="rId1"/>
    <sheet name="Factor" sheetId="5" state="hidden" r:id="rId2"/>
  </sheets>
  <definedNames>
    <definedName name="_xlnm.Print_Area" localSheetId="0">Tabla!$A$1:$G$35</definedName>
    <definedName name="Rango_de_plazo">Factor!$A$67:$A$68</definedName>
  </definedNames>
  <calcPr calcId="152511"/>
</workbook>
</file>

<file path=xl/calcChain.xml><?xml version="1.0" encoding="utf-8"?>
<calcChain xmlns="http://schemas.openxmlformats.org/spreadsheetml/2006/main">
  <c r="O25" i="2" l="1"/>
  <c r="O26" i="2"/>
  <c r="O27" i="2"/>
  <c r="K10" i="2"/>
  <c r="C58" i="5"/>
  <c r="C57" i="5"/>
  <c r="C59" i="5" s="1"/>
  <c r="B51" i="5"/>
  <c r="B50" i="5"/>
  <c r="B49" i="5"/>
  <c r="B48" i="5"/>
  <c r="C40" i="5"/>
  <c r="C39" i="5"/>
  <c r="C41" i="5" s="1"/>
  <c r="B33" i="5"/>
  <c r="B32" i="5"/>
  <c r="B31" i="5"/>
  <c r="B30" i="5"/>
  <c r="B1" i="5"/>
  <c r="B2" i="5" s="1"/>
  <c r="B3" i="5" s="1"/>
  <c r="B4" i="5" s="1"/>
  <c r="D33" i="2"/>
  <c r="D25" i="2"/>
  <c r="D26" i="2"/>
  <c r="D27" i="2"/>
  <c r="E14" i="5" l="1"/>
  <c r="B56" i="5"/>
  <c r="E15" i="5"/>
  <c r="F17" i="5"/>
  <c r="E22" i="5"/>
  <c r="F22" i="5"/>
  <c r="F11" i="5"/>
  <c r="F20" i="5"/>
  <c r="F23" i="5"/>
  <c r="E23" i="5"/>
  <c r="E10" i="5"/>
  <c r="F15" i="5"/>
  <c r="F12" i="5"/>
  <c r="E13" i="5"/>
  <c r="E20" i="5"/>
  <c r="E8" i="5"/>
  <c r="F14" i="5"/>
  <c r="E19" i="5"/>
  <c r="F16" i="5"/>
  <c r="F24" i="5"/>
  <c r="E16" i="5"/>
  <c r="B38" i="5"/>
  <c r="E24" i="5"/>
  <c r="E17" i="5"/>
  <c r="F18" i="5"/>
  <c r="F9" i="5"/>
  <c r="F13" i="5"/>
  <c r="F8" i="5"/>
  <c r="E21" i="5"/>
  <c r="E9" i="5"/>
  <c r="F10" i="5"/>
  <c r="E18" i="5"/>
  <c r="F19" i="5"/>
  <c r="F21" i="5"/>
  <c r="E12" i="5"/>
  <c r="E11" i="5"/>
  <c r="C42" i="5"/>
  <c r="C60" i="5"/>
  <c r="D14" i="2" s="1"/>
  <c r="D13" i="2"/>
  <c r="D17" i="2" l="1"/>
  <c r="B34" i="5" s="1"/>
  <c r="B36" i="5"/>
  <c r="B55" i="5"/>
  <c r="B37" i="5"/>
  <c r="B54" i="5"/>
  <c r="D15" i="2"/>
  <c r="B53" i="5" s="1"/>
  <c r="B47" i="5" l="1"/>
  <c r="B52" i="5"/>
  <c r="C56" i="5" s="1"/>
  <c r="B29" i="5"/>
  <c r="B35" i="5"/>
  <c r="B42" i="5" s="1"/>
  <c r="B60" i="5" l="1"/>
  <c r="C29" i="5"/>
  <c r="C38" i="5"/>
  <c r="C47" i="5"/>
  <c r="C61" i="5" s="1"/>
  <c r="B61" i="5" s="1"/>
  <c r="C62" i="5" l="1"/>
  <c r="C43" i="5"/>
  <c r="B43" i="5" s="1"/>
  <c r="C44" i="5" l="1"/>
  <c r="B29" i="2" s="1"/>
  <c r="D31" i="2" l="1"/>
  <c r="B31" i="2"/>
  <c r="D29" i="2"/>
</calcChain>
</file>

<file path=xl/comments1.xml><?xml version="1.0" encoding="utf-8"?>
<comments xmlns="http://schemas.openxmlformats.org/spreadsheetml/2006/main">
  <authors>
    <author>bc25109</author>
  </authors>
  <commentList>
    <comment ref="D11" authorId="0" shapeId="0">
      <text>
        <r>
          <rPr>
            <b/>
            <sz val="9"/>
            <color indexed="81"/>
            <rFont val="Arial"/>
            <family val="2"/>
          </rPr>
          <t xml:space="preserve">Valor del presupuesto: </t>
        </r>
        <r>
          <rPr>
            <sz val="9"/>
            <color indexed="81"/>
            <rFont val="Arial"/>
            <family val="2"/>
          </rPr>
          <t>corresponde al valor indicado en el presupuesto</t>
        </r>
      </text>
    </comment>
    <comment ref="D15" authorId="0" shapeId="0">
      <text>
        <r>
          <rPr>
            <sz val="9"/>
            <color indexed="81"/>
            <rFont val="Arial"/>
            <family val="2"/>
          </rPr>
          <t xml:space="preserve">La tasa de interés indicada se actualiza periódicamente. Si desea conocer cuál es la tasa de interés para el día de hoy, puede consultar el campo "Tasas" en la pestaña "La institución" de la página web del Bancaribe. 
</t>
        </r>
      </text>
    </comment>
    <comment ref="D17" authorId="0" shapeId="0">
      <text>
        <r>
          <rPr>
            <sz val="10"/>
            <color indexed="81"/>
            <rFont val="Arial"/>
            <family val="2"/>
          </rPr>
          <t xml:space="preserve">Plazo máximo del crédito
</t>
        </r>
      </text>
    </comment>
    <comment ref="D18" authorId="0" shapeId="0">
      <text>
        <r>
          <rPr>
            <sz val="10"/>
            <color indexed="81"/>
            <rFont val="Arial"/>
            <family val="2"/>
          </rPr>
          <t xml:space="preserve">En este campo se puede colocar un plazo inferior al máximo.
</t>
        </r>
      </text>
    </comment>
    <comment ref="D20" authorId="0" shapeId="0">
      <text>
        <r>
          <rPr>
            <b/>
            <sz val="9"/>
            <color indexed="81"/>
            <rFont val="Arial"/>
            <family val="2"/>
          </rPr>
          <t xml:space="preserve">Ingreso mensual: </t>
        </r>
        <r>
          <rPr>
            <sz val="9"/>
            <color indexed="81"/>
            <rFont val="Arial"/>
            <family val="2"/>
          </rPr>
          <t>se considera ingreso mensual todos los sueldos, salarios, pensiones, honorarios  profesionales e ingresos que se deriven de la ocupación principal de la persona, que sean percibidos en forma recurrente y con periodicidad mensual.</t>
        </r>
      </text>
    </comment>
    <comment ref="D21" authorId="0" shapeId="0">
      <text>
        <r>
          <rPr>
            <b/>
            <sz val="9"/>
            <color indexed="81"/>
            <rFont val="Arial"/>
            <family val="2"/>
          </rPr>
          <t>Otros ingresos:</t>
        </r>
        <r>
          <rPr>
            <sz val="9"/>
            <color indexed="81"/>
            <rFont val="Arial"/>
            <family val="2"/>
          </rPr>
          <t xml:space="preserve"> son todas aquellas remuneraciones percibidas en ocasión del desarrollo de actividades distintas a la ocupación principal de la persona, comisiones, bonificaciones, utilidades, alquileres, intereses, dividendos, entre otros.
</t>
        </r>
      </text>
    </comment>
    <comment ref="D22" authorId="0" shapeId="0">
      <text>
        <r>
          <rPr>
            <b/>
            <sz val="9"/>
            <color indexed="81"/>
            <rFont val="Arial"/>
            <family val="2"/>
          </rPr>
          <t xml:space="preserve">Gastos financieros: </t>
        </r>
        <r>
          <rPr>
            <sz val="9"/>
            <color indexed="81"/>
            <rFont val="Arial"/>
            <family val="2"/>
          </rPr>
          <t>se considera gasto fianciero el valor de las cuotas que mensualmente son canceladas por el cliente por concepto de deudas financieras contraídas.</t>
        </r>
      </text>
    </comment>
    <comment ref="D23" authorId="0" shapeId="0">
      <text>
        <r>
          <rPr>
            <b/>
            <sz val="9"/>
            <color indexed="81"/>
            <rFont val="Arial"/>
            <family val="2"/>
          </rPr>
          <t>Cargas familiares:</t>
        </r>
        <r>
          <rPr>
            <sz val="9"/>
            <color indexed="81"/>
            <rFont val="Arial"/>
            <family val="2"/>
          </rPr>
          <t xml:space="preserve"> son todas las personas que dependen económicamente del cliente y que son declaradas en la solicitud de crédito.</t>
        </r>
      </text>
    </comment>
    <comment ref="D24" authorId="0" shapeId="0">
      <text>
        <r>
          <rPr>
            <b/>
            <sz val="10"/>
            <color indexed="81"/>
            <rFont val="Arial"/>
            <family val="2"/>
          </rPr>
          <t>Experiencia crediticia bancaria previa:</t>
        </r>
        <r>
          <rPr>
            <sz val="10"/>
            <color indexed="81"/>
            <rFont val="Arial"/>
            <family val="2"/>
          </rPr>
          <t xml:space="preserve"> considera si el cliente tiene o ha tenia créditos en Bancaribe o en cualquier otra entidad financiera. 
</t>
        </r>
      </text>
    </comment>
    <comment ref="D29" authorId="0" shapeId="0">
      <text>
        <r>
          <rPr>
            <sz val="9"/>
            <color indexed="81"/>
            <rFont val="Arial"/>
            <family val="2"/>
          </rPr>
          <t xml:space="preserve">En este campo se refleja el monto del crédito (en Bolívares) al que podría optar el cliente.
</t>
        </r>
      </text>
    </comment>
    <comment ref="D31" authorId="0" shapeId="0">
      <text>
        <r>
          <rPr>
            <sz val="9"/>
            <color indexed="81"/>
            <rFont val="Arial"/>
            <family val="2"/>
          </rPr>
          <t>En este campo se refleja la cuota correspondiente al monto del crédito (en Bolívares) al que podría optar el cliente.</t>
        </r>
        <r>
          <rPr>
            <sz val="10"/>
            <color indexed="81"/>
            <rFont val="Tahoma"/>
            <family val="2"/>
          </rPr>
          <t xml:space="preserve">
</t>
        </r>
      </text>
    </comment>
  </commentList>
</comments>
</file>

<file path=xl/sharedStrings.xml><?xml version="1.0" encoding="utf-8"?>
<sst xmlns="http://schemas.openxmlformats.org/spreadsheetml/2006/main" count="96" uniqueCount="66">
  <si>
    <t>desde</t>
  </si>
  <si>
    <t>hasta</t>
  </si>
  <si>
    <t>Capacidad de Pago</t>
  </si>
  <si>
    <t>Gastos Financieros</t>
  </si>
  <si>
    <t>Cargas Familiares</t>
  </si>
  <si>
    <t>CMSDM</t>
  </si>
  <si>
    <t>Fact UT</t>
  </si>
  <si>
    <t>UT</t>
  </si>
  <si>
    <t>FactAju</t>
  </si>
  <si>
    <t>Fact Tasa</t>
  </si>
  <si>
    <t>Cuota mensual</t>
  </si>
  <si>
    <t>Capacidad de pago</t>
  </si>
  <si>
    <t>Total crédito</t>
  </si>
  <si>
    <t>Tasa de Interés:</t>
  </si>
  <si>
    <t>CONDICIONES DEL CRÉDITO</t>
  </si>
  <si>
    <t>Cargas familiares (no incluir al solicitante):</t>
  </si>
  <si>
    <t>DATOS SOCIOECONÓMICOS</t>
  </si>
  <si>
    <t>Unidad tributaria</t>
  </si>
  <si>
    <t>MONTO DE LA CUOTA ESTIMADA DEL CRÉDITO</t>
  </si>
  <si>
    <t>*Campo Requerido</t>
  </si>
  <si>
    <t>MONTO ESTIMADO DEL CRÉDITO</t>
  </si>
  <si>
    <t>Plazo del crédito (N° de cuotas):</t>
  </si>
  <si>
    <t>Tasa promocional de Interés:</t>
  </si>
  <si>
    <t>Otros ingresos</t>
  </si>
  <si>
    <t>Ingreso mensual declarado y demostrado</t>
  </si>
  <si>
    <t>Experiencia crediticia bancaria previa:</t>
  </si>
  <si>
    <t>Monto máximo del crédito a otorgar</t>
  </si>
  <si>
    <t>Si</t>
  </si>
  <si>
    <t>No</t>
  </si>
  <si>
    <t>Tabla de Ajuste para los Ingresos</t>
  </si>
  <si>
    <t>Monto del crédito</t>
  </si>
  <si>
    <t>Monto del crédito:</t>
  </si>
  <si>
    <t>Producto</t>
  </si>
  <si>
    <t>Modalidad</t>
  </si>
  <si>
    <t>Monto de la Incial:</t>
  </si>
  <si>
    <t>Inicial mínima requerida</t>
  </si>
  <si>
    <t>(ESTOS RESULTADOS NO COMPROMETEN AL BANCO AL MOMENTO DE LA APROBACIÓN)</t>
  </si>
  <si>
    <t>Inicial mínima requerida:</t>
  </si>
  <si>
    <t>Ingreso Mínimo LPB Cliente</t>
  </si>
  <si>
    <t>Ingreso Mínimo LPB No Cliente</t>
  </si>
  <si>
    <t>Consecuencia</t>
  </si>
  <si>
    <t>Monto de la Incial</t>
  </si>
  <si>
    <t>Tasa</t>
  </si>
  <si>
    <t>Plazo</t>
  </si>
  <si>
    <t>SIMULACIÓN PARA "LÍNEA AUTO"</t>
  </si>
  <si>
    <t>Seleccione Modalidad de Línea Auto</t>
  </si>
  <si>
    <t>Línea Auto</t>
  </si>
  <si>
    <t>Factura proforma</t>
  </si>
  <si>
    <t>Factura proforma:</t>
  </si>
  <si>
    <t>"El resultado obtenido es referencial y de carácter informativo; en consecuencia, no podrá interpretarse como aprobación de crédito"</t>
  </si>
  <si>
    <t>Plazo máximo del crédito (N° de cuotas):</t>
  </si>
  <si>
    <t>Plazo solicitado (N° de cuotas):</t>
  </si>
  <si>
    <t>Ingreso mensual:</t>
  </si>
  <si>
    <t>Gastos financieros:</t>
  </si>
  <si>
    <t>Cuota mensual del monto solicitado</t>
  </si>
  <si>
    <t>Ingreso mínimo</t>
  </si>
  <si>
    <t>Ingreso máx</t>
  </si>
  <si>
    <t>Otros ingresos adicionales mensuales:</t>
  </si>
  <si>
    <t>Campo Opcional</t>
  </si>
  <si>
    <t>LAB Alianza</t>
  </si>
  <si>
    <t>*Seleccione el plazo</t>
  </si>
  <si>
    <t>Rango de plazo</t>
  </si>
  <si>
    <t>Salario mínimo (Sm) + Cesta Ticket = Salario Integral</t>
  </si>
  <si>
    <t>Inflación Proyectada al 31/08/18</t>
  </si>
  <si>
    <t>FactAju Anterior</t>
  </si>
  <si>
    <t>Porcentaje de Distrubución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</si>
</sst>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_(* \(#,##0\);_(* &quot;-&quot;_);_(@_)"/>
    <numFmt numFmtId="165" formatCode="_(* #,##0.00_);_(* \(#,##0.00\);_(* &quot;-&quot;??_);_(@_)"/>
    <numFmt numFmtId="166" formatCode="&quot;Bs&quot;\ #,##0.00_);\(&quot;Bs&quot;\ #,##0.00\)"/>
    <numFmt numFmtId="167" formatCode="&quot;Bs&quot;\ #,##0.00_);[Red]\(&quot;Bs&quot;\ #,##0.00\)"/>
    <numFmt numFmtId="168" formatCode="&quot;Bs&quot;#,##0.00_);[Red]\(&quot;Bs&quot;#,##0.00\)"/>
    <numFmt numFmtId="169" formatCode="[$-F800]dddd\,\ mmmm\ dd\,\ yyyy"/>
    <numFmt numFmtId="170" formatCode="&quot;Bs&quot;\ #,##0.00"/>
    <numFmt numFmtId="171" formatCode="&quot;Bs S&quot;\ #,##0.00"/>
  </numFmts>
  <fonts count="40" x14ac:knownFonts="1">
    <font>
      <sz val="10"/>
      <name val="Arial"/>
    </font>
    <font>
      <sz val="10"/>
      <name val="Arial"/>
      <family val="2"/>
    </font>
    <font>
      <b/>
      <sz val="10"/>
      <name val="Arial"/>
      <family val="2"/>
    </font>
    <font>
      <sz val="8"/>
      <name val="Arial"/>
      <family val="2"/>
    </font>
    <font>
      <b/>
      <sz val="10"/>
      <color indexed="9"/>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sz val="10"/>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i/>
      <sz val="14"/>
      <color indexed="21"/>
      <name val="Arial"/>
      <family val="2"/>
    </font>
    <font>
      <b/>
      <i/>
      <sz val="14"/>
      <color indexed="9"/>
      <name val="Arial"/>
      <family val="2"/>
    </font>
    <font>
      <sz val="9"/>
      <color indexed="23"/>
      <name val="Arial"/>
      <family val="2"/>
    </font>
    <font>
      <b/>
      <i/>
      <sz val="14"/>
      <name val="Arial"/>
      <family val="2"/>
    </font>
    <font>
      <b/>
      <i/>
      <sz val="14"/>
      <color indexed="62"/>
      <name val="Arial"/>
      <family val="2"/>
    </font>
    <font>
      <b/>
      <sz val="9"/>
      <color indexed="81"/>
      <name val="Arial"/>
      <family val="2"/>
    </font>
    <font>
      <sz val="9"/>
      <color indexed="81"/>
      <name val="Arial"/>
      <family val="2"/>
    </font>
    <font>
      <sz val="10"/>
      <color indexed="81"/>
      <name val="Tahoma"/>
      <family val="2"/>
    </font>
    <font>
      <b/>
      <sz val="10"/>
      <color indexed="81"/>
      <name val="Arial"/>
      <family val="2"/>
    </font>
    <font>
      <sz val="10"/>
      <color indexed="81"/>
      <name val="Arial"/>
      <family val="2"/>
    </font>
    <font>
      <sz val="10"/>
      <color theme="0"/>
      <name val="Arial"/>
      <family val="2"/>
    </font>
    <font>
      <sz val="9"/>
      <color theme="1"/>
      <name val="Arial"/>
      <family val="2"/>
    </font>
    <font>
      <sz val="10"/>
      <color theme="1"/>
      <name val="Arial"/>
      <family val="2"/>
    </font>
    <font>
      <b/>
      <i/>
      <sz val="14"/>
      <color theme="3"/>
      <name val="Arial"/>
      <family val="2"/>
    </font>
    <font>
      <b/>
      <sz val="18"/>
      <color theme="3"/>
      <name val="Arial"/>
      <family val="2"/>
    </font>
    <font>
      <b/>
      <sz val="11"/>
      <color theme="3"/>
      <name val="Arial"/>
      <family val="2"/>
    </font>
    <font>
      <b/>
      <i/>
      <sz val="12"/>
      <color theme="3"/>
      <name val="Arial"/>
      <family val="2"/>
    </font>
    <font>
      <b/>
      <sz val="10"/>
      <color theme="7"/>
      <name val="Arial"/>
      <family val="2"/>
    </font>
    <font>
      <b/>
      <sz val="10"/>
      <color theme="0"/>
      <name val="Arial"/>
      <family val="2"/>
    </font>
    <font>
      <sz val="11"/>
      <color rgb="FFFF0000"/>
      <name val="Arial"/>
      <family val="2"/>
    </font>
    <font>
      <b/>
      <sz val="16"/>
      <color rgb="FF008000"/>
      <name val="Arial"/>
      <family val="2"/>
    </font>
  </fonts>
  <fills count="8">
    <fill>
      <patternFill patternType="none"/>
    </fill>
    <fill>
      <patternFill patternType="gray125"/>
    </fill>
    <fill>
      <patternFill patternType="solid">
        <fgColor indexed="42"/>
        <bgColor indexed="64"/>
      </patternFill>
    </fill>
    <fill>
      <patternFill patternType="solid">
        <fgColor indexed="54"/>
        <bgColor indexed="64"/>
      </patternFill>
    </fill>
    <fill>
      <patternFill patternType="solid">
        <fgColor indexed="22"/>
        <bgColor indexed="64"/>
      </patternFill>
    </fill>
    <fill>
      <patternFill patternType="solid">
        <fgColor theme="8" tint="-0.249977111117893"/>
        <bgColor indexed="64"/>
      </patternFill>
    </fill>
    <fill>
      <patternFill patternType="solid">
        <fgColor theme="7"/>
        <bgColor indexed="64"/>
      </patternFill>
    </fill>
    <fill>
      <patternFill patternType="solid">
        <fgColor theme="3"/>
        <bgColor indexed="64"/>
      </patternFill>
    </fill>
  </fills>
  <borders count="9">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right/>
      <top style="thick">
        <color indexed="9"/>
      </top>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top style="thick">
        <color indexed="9"/>
      </top>
      <bottom style="thick">
        <color indexed="9"/>
      </bottom>
      <diagonal/>
    </border>
  </borders>
  <cellStyleXfs count="4">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cellStyleXfs>
  <cellXfs count="104">
    <xf numFmtId="0" fontId="0" fillId="0" borderId="0" xfId="0"/>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Fill="1" applyBorder="1" applyAlignment="1" applyProtection="1">
      <alignment vertical="center"/>
      <protection hidden="1"/>
    </xf>
    <xf numFmtId="0" fontId="8" fillId="0" borderId="0" xfId="0" applyFont="1" applyBorder="1" applyAlignment="1" applyProtection="1">
      <alignment horizontal="center" vertical="center"/>
      <protection hidden="1"/>
    </xf>
    <xf numFmtId="167" fontId="6" fillId="0" borderId="0" xfId="0" applyNumberFormat="1" applyFont="1" applyAlignment="1" applyProtection="1">
      <alignment vertical="center"/>
      <protection hidden="1"/>
    </xf>
    <xf numFmtId="0" fontId="5" fillId="0" borderId="0" xfId="0" applyFont="1" applyBorder="1" applyAlignment="1" applyProtection="1">
      <alignment vertical="center"/>
      <protection hidden="1"/>
    </xf>
    <xf numFmtId="0" fontId="7" fillId="0" borderId="0" xfId="0" applyFont="1" applyAlignment="1" applyProtection="1">
      <alignment horizontal="right" vertical="center"/>
      <protection hidden="1"/>
    </xf>
    <xf numFmtId="0" fontId="9" fillId="0" borderId="0" xfId="0" applyFont="1" applyFill="1" applyBorder="1" applyAlignment="1" applyProtection="1">
      <alignment vertical="top" wrapText="1"/>
      <protection hidden="1"/>
    </xf>
    <xf numFmtId="0" fontId="6" fillId="0" borderId="0" xfId="0" applyFont="1" applyBorder="1" applyProtection="1">
      <protection hidden="1"/>
    </xf>
    <xf numFmtId="168" fontId="6" fillId="0" borderId="0" xfId="0" applyNumberFormat="1" applyFont="1" applyAlignment="1" applyProtection="1">
      <alignment vertical="center"/>
      <protection hidden="1"/>
    </xf>
    <xf numFmtId="0" fontId="0" fillId="0" borderId="0" xfId="0" applyNumberFormat="1"/>
    <xf numFmtId="165" fontId="2" fillId="2" borderId="0" xfId="1" applyNumberFormat="1" applyFont="1" applyFill="1"/>
    <xf numFmtId="0" fontId="4" fillId="3" borderId="0" xfId="1" applyNumberFormat="1" applyFont="1" applyFill="1"/>
    <xf numFmtId="170" fontId="4" fillId="3" borderId="0" xfId="1" applyNumberFormat="1" applyFont="1" applyFill="1"/>
    <xf numFmtId="14" fontId="4" fillId="3" borderId="0" xfId="1" applyNumberFormat="1" applyFont="1" applyFill="1"/>
    <xf numFmtId="167" fontId="10" fillId="0" borderId="0" xfId="0" applyNumberFormat="1" applyFont="1" applyBorder="1" applyAlignment="1" applyProtection="1">
      <alignment vertical="center"/>
      <protection hidden="1"/>
    </xf>
    <xf numFmtId="0" fontId="10" fillId="0" borderId="0" xfId="0" applyFont="1" applyBorder="1" applyAlignment="1" applyProtection="1">
      <alignment vertical="center"/>
      <protection hidden="1"/>
    </xf>
    <xf numFmtId="0" fontId="16" fillId="0" borderId="0" xfId="0" applyFont="1" applyBorder="1" applyAlignment="1" applyProtection="1">
      <alignment horizontal="right" vertical="center"/>
      <protection hidden="1"/>
    </xf>
    <xf numFmtId="0" fontId="19" fillId="0" borderId="1" xfId="0" applyFont="1" applyBorder="1" applyAlignment="1" applyProtection="1">
      <alignment vertical="center"/>
      <protection hidden="1"/>
    </xf>
    <xf numFmtId="170" fontId="8"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6" fillId="0" borderId="0" xfId="0" applyFont="1" applyAlignment="1" applyProtection="1">
      <alignment horizontal="right"/>
      <protection hidden="1"/>
    </xf>
    <xf numFmtId="0" fontId="18" fillId="0" borderId="0" xfId="0" applyFont="1" applyAlignment="1" applyProtection="1">
      <alignment vertical="center"/>
      <protection hidden="1"/>
    </xf>
    <xf numFmtId="0" fontId="17" fillId="0" borderId="0" xfId="0" applyFont="1" applyBorder="1" applyAlignment="1" applyProtection="1">
      <alignment horizontal="center" vertical="center" wrapText="1"/>
      <protection hidden="1"/>
    </xf>
    <xf numFmtId="0" fontId="21" fillId="0" borderId="0" xfId="0" applyFont="1" applyAlignment="1" applyProtection="1">
      <alignment vertical="center"/>
      <protection hidden="1"/>
    </xf>
    <xf numFmtId="0" fontId="22" fillId="4" borderId="1" xfId="3" applyNumberFormat="1" applyFont="1" applyFill="1" applyBorder="1" applyAlignment="1" applyProtection="1">
      <alignment horizontal="right" vertical="center"/>
      <protection hidden="1"/>
    </xf>
    <xf numFmtId="166" fontId="22" fillId="4" borderId="1" xfId="1" applyNumberFormat="1" applyFont="1" applyFill="1" applyBorder="1" applyAlignment="1" applyProtection="1">
      <alignment horizontal="right" vertical="center"/>
      <protection hidden="1"/>
    </xf>
    <xf numFmtId="0" fontId="16" fillId="0" borderId="0" xfId="0" applyFont="1" applyFill="1" applyAlignment="1" applyProtection="1">
      <alignment horizontal="right" vertical="center"/>
      <protection hidden="1"/>
    </xf>
    <xf numFmtId="170" fontId="14" fillId="2" borderId="0" xfId="1" applyNumberFormat="1" applyFont="1" applyFill="1" applyAlignment="1"/>
    <xf numFmtId="0" fontId="14" fillId="0" borderId="0" xfId="1" applyNumberFormat="1" applyFont="1"/>
    <xf numFmtId="0" fontId="14" fillId="0" borderId="0" xfId="1" applyNumberFormat="1" applyFont="1" applyAlignment="1">
      <alignment horizontal="left"/>
    </xf>
    <xf numFmtId="0" fontId="14" fillId="2" borderId="0" xfId="1" applyNumberFormat="1" applyFont="1" applyFill="1" applyAlignment="1"/>
    <xf numFmtId="10" fontId="14" fillId="2" borderId="0" xfId="1" applyNumberFormat="1" applyFont="1" applyFill="1" applyAlignment="1"/>
    <xf numFmtId="165" fontId="14" fillId="0" borderId="0" xfId="1" applyFont="1"/>
    <xf numFmtId="0" fontId="4" fillId="3" borderId="0" xfId="1" applyNumberFormat="1" applyFont="1" applyFill="1" applyAlignment="1">
      <alignment horizontal="center"/>
    </xf>
    <xf numFmtId="0" fontId="0" fillId="0" borderId="0" xfId="0" applyProtection="1">
      <protection hidden="1"/>
    </xf>
    <xf numFmtId="0" fontId="13" fillId="0" borderId="0" xfId="0" applyFont="1" applyFill="1" applyBorder="1" applyAlignment="1" applyProtection="1">
      <alignment horizontal="center" vertical="top" wrapText="1"/>
      <protection hidden="1"/>
    </xf>
    <xf numFmtId="0" fontId="16" fillId="0" borderId="0" xfId="0" applyFont="1" applyBorder="1" applyAlignment="1" applyProtection="1">
      <alignment horizontal="center" vertical="center"/>
      <protection hidden="1"/>
    </xf>
    <xf numFmtId="0" fontId="29" fillId="0" borderId="0" xfId="0" applyFont="1" applyAlignment="1" applyProtection="1">
      <alignment vertical="center"/>
      <protection hidden="1"/>
    </xf>
    <xf numFmtId="164" fontId="22" fillId="4" borderId="2" xfId="0" applyNumberFormat="1" applyFont="1" applyFill="1" applyBorder="1" applyAlignment="1" applyProtection="1">
      <alignment horizontal="right" vertical="center"/>
      <protection locked="0"/>
    </xf>
    <xf numFmtId="3" fontId="22" fillId="4" borderId="2" xfId="0" applyNumberFormat="1" applyFont="1" applyFill="1" applyBorder="1" applyAlignment="1" applyProtection="1">
      <alignment horizontal="right" vertical="center"/>
      <protection locked="0"/>
    </xf>
    <xf numFmtId="0" fontId="2" fillId="2" borderId="0" xfId="0" applyFont="1" applyFill="1"/>
    <xf numFmtId="170" fontId="0" fillId="0" borderId="0" xfId="0" applyNumberFormat="1"/>
    <xf numFmtId="170" fontId="14" fillId="0" borderId="0" xfId="1" applyNumberFormat="1" applyFont="1"/>
    <xf numFmtId="0" fontId="23" fillId="0" borderId="0" xfId="0" applyFont="1" applyBorder="1" applyAlignment="1" applyProtection="1">
      <alignment horizontal="right"/>
      <protection hidden="1"/>
    </xf>
    <xf numFmtId="0" fontId="30" fillId="0" borderId="0" xfId="0" applyFont="1" applyAlignment="1" applyProtection="1">
      <alignment vertical="center"/>
      <protection hidden="1"/>
    </xf>
    <xf numFmtId="168" fontId="31" fillId="0" borderId="0" xfId="0" applyNumberFormat="1" applyFont="1" applyAlignment="1" applyProtection="1">
      <alignment vertical="center"/>
      <protection hidden="1"/>
    </xf>
    <xf numFmtId="3" fontId="14" fillId="2" borderId="0" xfId="1" applyNumberFormat="1" applyFont="1" applyFill="1" applyAlignment="1"/>
    <xf numFmtId="0" fontId="14" fillId="0" borderId="0" xfId="0" applyNumberFormat="1" applyFont="1"/>
    <xf numFmtId="170" fontId="21" fillId="0" borderId="0" xfId="0" applyNumberFormat="1" applyFont="1" applyAlignment="1" applyProtection="1">
      <alignment vertical="center"/>
      <protection hidden="1"/>
    </xf>
    <xf numFmtId="10" fontId="22" fillId="4" borderId="1" xfId="3" applyNumberFormat="1" applyFont="1" applyFill="1" applyBorder="1" applyAlignment="1" applyProtection="1">
      <alignment vertical="center"/>
      <protection locked="0"/>
    </xf>
    <xf numFmtId="0" fontId="22" fillId="4" borderId="1" xfId="3" applyNumberFormat="1" applyFont="1" applyFill="1" applyBorder="1" applyAlignment="1" applyProtection="1">
      <alignment horizontal="right" vertical="center"/>
      <protection locked="0"/>
    </xf>
    <xf numFmtId="10" fontId="22" fillId="4" borderId="1" xfId="3" applyNumberFormat="1" applyFont="1" applyFill="1" applyBorder="1" applyAlignment="1" applyProtection="1">
      <alignment horizontal="right" vertical="center"/>
      <protection hidden="1"/>
    </xf>
    <xf numFmtId="10" fontId="21" fillId="0" borderId="0" xfId="0" applyNumberFormat="1" applyFont="1" applyAlignment="1" applyProtection="1">
      <alignment vertical="center"/>
      <protection hidden="1"/>
    </xf>
    <xf numFmtId="0" fontId="21" fillId="0" borderId="0" xfId="0" applyNumberFormat="1" applyFont="1" applyAlignment="1" applyProtection="1">
      <alignment vertical="center"/>
      <protection hidden="1"/>
    </xf>
    <xf numFmtId="0" fontId="32" fillId="0" borderId="1" xfId="0" applyFont="1" applyBorder="1" applyAlignment="1" applyProtection="1">
      <alignment horizontal="right" vertical="center"/>
      <protection hidden="1"/>
    </xf>
    <xf numFmtId="0" fontId="32" fillId="0" borderId="1" xfId="0" applyFont="1" applyBorder="1" applyAlignment="1" applyProtection="1">
      <alignment horizontal="right" vertical="center" wrapText="1"/>
      <protection hidden="1"/>
    </xf>
    <xf numFmtId="0" fontId="32" fillId="0" borderId="2" xfId="0" applyFont="1" applyBorder="1" applyAlignment="1" applyProtection="1">
      <alignment horizontal="right" vertical="center"/>
      <protection hidden="1"/>
    </xf>
    <xf numFmtId="0" fontId="33" fillId="0" borderId="0"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169" fontId="35" fillId="0" borderId="0" xfId="0" applyNumberFormat="1" applyFont="1" applyBorder="1" applyAlignment="1" applyProtection="1">
      <alignment vertical="center"/>
      <protection hidden="1"/>
    </xf>
    <xf numFmtId="170" fontId="22" fillId="4" borderId="2" xfId="0" applyNumberFormat="1" applyFont="1" applyFill="1" applyBorder="1" applyAlignment="1" applyProtection="1">
      <alignment horizontal="right" vertical="center"/>
      <protection hidden="1"/>
    </xf>
    <xf numFmtId="0" fontId="21" fillId="0" borderId="0" xfId="0" applyFont="1" applyAlignment="1" applyProtection="1">
      <alignment horizontal="center" vertical="center"/>
      <protection hidden="1"/>
    </xf>
    <xf numFmtId="0" fontId="20" fillId="5" borderId="2" xfId="0" applyFont="1" applyFill="1" applyBorder="1" applyAlignment="1" applyProtection="1">
      <alignment horizontal="center" vertical="center"/>
      <protection hidden="1"/>
    </xf>
    <xf numFmtId="0" fontId="20" fillId="5" borderId="1" xfId="0" applyFont="1" applyFill="1" applyBorder="1" applyAlignment="1" applyProtection="1">
      <alignment horizontal="center" vertical="center"/>
      <protection locked="0" hidden="1"/>
    </xf>
    <xf numFmtId="0" fontId="1" fillId="0" borderId="0" xfId="2" applyFont="1" applyProtection="1">
      <protection hidden="1"/>
    </xf>
    <xf numFmtId="4" fontId="36" fillId="0" borderId="0" xfId="2" applyNumberFormat="1" applyFont="1" applyProtection="1">
      <protection hidden="1"/>
    </xf>
    <xf numFmtId="14" fontId="37" fillId="6" borderId="0" xfId="2" applyNumberFormat="1" applyFont="1" applyFill="1" applyProtection="1">
      <protection hidden="1"/>
    </xf>
    <xf numFmtId="4" fontId="37" fillId="6" borderId="0" xfId="2" applyNumberFormat="1" applyFont="1" applyFill="1" applyProtection="1">
      <protection hidden="1"/>
    </xf>
    <xf numFmtId="0" fontId="1" fillId="0" borderId="0" xfId="0" applyFont="1"/>
    <xf numFmtId="0" fontId="38" fillId="0" borderId="0" xfId="0" applyFont="1" applyAlignment="1" applyProtection="1">
      <alignment vertical="center" wrapText="1"/>
      <protection hidden="1"/>
    </xf>
    <xf numFmtId="171" fontId="14" fillId="2" borderId="0" xfId="1" applyNumberFormat="1" applyFont="1" applyFill="1" applyAlignment="1"/>
    <xf numFmtId="171" fontId="4" fillId="3" borderId="0" xfId="1" applyNumberFormat="1" applyFont="1" applyFill="1"/>
    <xf numFmtId="171" fontId="39" fillId="4" borderId="1" xfId="0" applyNumberFormat="1" applyFont="1" applyFill="1" applyBorder="1" applyAlignment="1" applyProtection="1">
      <alignment horizontal="center" vertical="center" wrapText="1"/>
      <protection hidden="1"/>
    </xf>
    <xf numFmtId="171" fontId="22" fillId="4" borderId="1" xfId="1" applyNumberFormat="1" applyFont="1" applyFill="1" applyBorder="1" applyAlignment="1" applyProtection="1">
      <alignment horizontal="right" vertical="center"/>
      <protection locked="0"/>
    </xf>
    <xf numFmtId="171" fontId="22" fillId="4" borderId="1" xfId="3" applyNumberFormat="1" applyFont="1" applyFill="1" applyBorder="1" applyAlignment="1" applyProtection="1">
      <alignment vertical="center"/>
      <protection locked="0"/>
    </xf>
    <xf numFmtId="171" fontId="22" fillId="4" borderId="1" xfId="3" applyNumberFormat="1" applyFont="1" applyFill="1" applyBorder="1" applyAlignment="1" applyProtection="1">
      <alignment vertical="center"/>
      <protection hidden="1"/>
    </xf>
    <xf numFmtId="171" fontId="22" fillId="4" borderId="1" xfId="3" applyNumberFormat="1" applyFont="1" applyFill="1" applyBorder="1" applyAlignment="1" applyProtection="1">
      <alignment horizontal="right" vertical="center" wrapText="1"/>
      <protection hidden="1"/>
    </xf>
    <xf numFmtId="171" fontId="22" fillId="4" borderId="2" xfId="1" applyNumberFormat="1" applyFont="1" applyFill="1" applyBorder="1" applyAlignment="1" applyProtection="1">
      <alignment horizontal="right" vertical="center"/>
      <protection locked="0"/>
    </xf>
    <xf numFmtId="9" fontId="4" fillId="3" borderId="0" xfId="3" applyFont="1" applyFill="1"/>
    <xf numFmtId="9" fontId="14" fillId="0" borderId="0" xfId="3" applyFont="1"/>
    <xf numFmtId="165" fontId="0" fillId="0" borderId="0" xfId="1" applyFont="1"/>
    <xf numFmtId="0" fontId="33" fillId="0" borderId="0"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20" fillId="7" borderId="1" xfId="0" applyFont="1" applyFill="1" applyBorder="1" applyAlignment="1" applyProtection="1">
      <alignment horizontal="right" vertical="center"/>
      <protection hidden="1"/>
    </xf>
    <xf numFmtId="0" fontId="32" fillId="0" borderId="3" xfId="0" applyFont="1" applyFill="1" applyBorder="1" applyAlignment="1" applyProtection="1">
      <alignment horizontal="right" vertical="center" wrapText="1"/>
      <protection hidden="1"/>
    </xf>
    <xf numFmtId="0" fontId="15" fillId="5" borderId="0" xfId="0" applyFont="1" applyFill="1" applyBorder="1" applyAlignment="1" applyProtection="1">
      <alignment horizontal="center" vertical="center"/>
      <protection hidden="1"/>
    </xf>
    <xf numFmtId="0" fontId="32" fillId="0" borderId="8" xfId="0" applyFont="1" applyFill="1" applyBorder="1" applyAlignment="1" applyProtection="1">
      <alignment horizontal="right" vertical="center" wrapText="1"/>
      <protection hidden="1"/>
    </xf>
    <xf numFmtId="0" fontId="32" fillId="0" borderId="7" xfId="0" applyFont="1" applyFill="1" applyBorder="1" applyAlignment="1" applyProtection="1">
      <alignment horizontal="right" vertical="center" wrapText="1"/>
      <protection hidden="1"/>
    </xf>
    <xf numFmtId="0" fontId="13"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protection hidden="1"/>
    </xf>
    <xf numFmtId="0" fontId="15" fillId="5" borderId="3" xfId="0" applyFont="1" applyFill="1" applyBorder="1" applyAlignment="1" applyProtection="1">
      <alignment horizontal="center" vertical="center"/>
      <protection hidden="1"/>
    </xf>
    <xf numFmtId="0" fontId="15" fillId="5" borderId="1" xfId="0" applyFont="1" applyFill="1" applyBorder="1" applyAlignment="1" applyProtection="1">
      <alignment horizontal="center" vertical="center"/>
      <protection hidden="1"/>
    </xf>
    <xf numFmtId="0" fontId="39" fillId="4" borderId="1" xfId="0" applyFont="1" applyFill="1" applyBorder="1" applyAlignment="1" applyProtection="1">
      <alignment horizontal="center" vertical="center" wrapText="1"/>
      <protection hidden="1"/>
    </xf>
    <xf numFmtId="0" fontId="32" fillId="0" borderId="4" xfId="0" applyFont="1" applyFill="1" applyBorder="1" applyAlignment="1" applyProtection="1">
      <alignment horizontal="right" vertical="center" wrapText="1"/>
      <protection hidden="1"/>
    </xf>
    <xf numFmtId="0" fontId="32" fillId="0" borderId="5" xfId="0" applyFont="1" applyFill="1" applyBorder="1" applyAlignment="1" applyProtection="1">
      <alignment horizontal="right" vertical="center" wrapText="1"/>
      <protection hidden="1"/>
    </xf>
    <xf numFmtId="0" fontId="32" fillId="0" borderId="6" xfId="0" applyFont="1" applyFill="1" applyBorder="1" applyAlignment="1" applyProtection="1">
      <alignment horizontal="right" vertical="center" wrapText="1"/>
      <protection hidden="1"/>
    </xf>
  </cellXfs>
  <cellStyles count="4">
    <cellStyle name="Millares" xfId="1" builtinId="3"/>
    <cellStyle name="Normal" xfId="0" builtinId="0"/>
    <cellStyle name="Normal 2" xfId="2"/>
    <cellStyle name="Porcentaje" xfId="3" builtinId="5"/>
  </cellStyles>
  <dxfs count="7">
    <dxf>
      <font>
        <b/>
        <i val="0"/>
        <color rgb="FFFF0000"/>
      </font>
    </dxf>
    <dxf>
      <font>
        <b/>
        <i val="0"/>
        <color theme="3"/>
        <name val="Cambria"/>
        <scheme val="none"/>
      </font>
    </dxf>
    <dxf>
      <font>
        <b/>
        <i val="0"/>
        <condense val="0"/>
        <extend val="0"/>
        <color indexed="17"/>
      </font>
    </dxf>
    <dxf>
      <font>
        <b/>
        <i val="0"/>
        <condense val="0"/>
        <extend val="0"/>
        <color indexed="10"/>
      </font>
    </dxf>
    <dxf>
      <font>
        <b/>
        <i val="0"/>
        <condense val="0"/>
        <extend val="0"/>
        <color indexed="12"/>
      </font>
    </dxf>
    <dxf>
      <font>
        <b/>
        <i val="0"/>
        <color theme="3"/>
        <name val="Cambria"/>
        <scheme val="none"/>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171450</xdr:rowOff>
    </xdr:from>
    <xdr:to>
      <xdr:col>1</xdr:col>
      <xdr:colOff>142875</xdr:colOff>
      <xdr:row>3</xdr:row>
      <xdr:rowOff>123825</xdr:rowOff>
    </xdr:to>
    <xdr:pic>
      <xdr:nvPicPr>
        <xdr:cNvPr id="3202"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171450"/>
          <a:ext cx="19240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O35"/>
  <sheetViews>
    <sheetView showGridLines="0" showRowColHeaders="0" tabSelected="1" topLeftCell="B1" zoomScale="75" zoomScaleNormal="75" workbookViewId="0">
      <selection activeCell="D18" sqref="D18"/>
    </sheetView>
  </sheetViews>
  <sheetFormatPr baseColWidth="10" defaultColWidth="6.85546875" defaultRowHeight="0" customHeight="1" zeroHeight="1" x14ac:dyDescent="0.2"/>
  <cols>
    <col min="1" max="1" width="28.42578125" style="1" customWidth="1"/>
    <col min="2" max="2" width="40.28515625" style="1" customWidth="1"/>
    <col min="3" max="3" width="48.28515625" style="14" customWidth="1"/>
    <col min="4" max="4" width="57.85546875" style="1" customWidth="1"/>
    <col min="5" max="5" width="17" style="1" customWidth="1"/>
    <col min="6" max="6" width="6.85546875" style="1" customWidth="1"/>
    <col min="7" max="7" width="5.85546875" style="1" hidden="1" customWidth="1"/>
    <col min="8" max="10" width="6.85546875" style="1" hidden="1" customWidth="1"/>
    <col min="11" max="11" width="13.7109375" style="1" hidden="1" customWidth="1"/>
    <col min="12" max="13" width="6.85546875" style="1" hidden="1" customWidth="1"/>
    <col min="14" max="14" width="6.85546875" style="1" customWidth="1"/>
    <col min="15" max="16384" width="6.85546875" style="1"/>
  </cols>
  <sheetData>
    <row r="1" spans="1:15" s="2" customFormat="1" ht="16.5" customHeight="1" x14ac:dyDescent="0.2"/>
    <row r="2" spans="1:15" s="2" customFormat="1" ht="17.25" customHeight="1" x14ac:dyDescent="0.2">
      <c r="A2" s="89" t="s">
        <v>44</v>
      </c>
      <c r="B2" s="89"/>
      <c r="C2" s="89"/>
      <c r="D2" s="89"/>
      <c r="E2" s="89"/>
      <c r="F2" s="89"/>
      <c r="G2" s="89"/>
    </row>
    <row r="3" spans="1:15" s="2" customFormat="1" ht="10.5" customHeight="1" x14ac:dyDescent="0.2">
      <c r="A3" s="65"/>
      <c r="B3" s="65"/>
      <c r="C3" s="65"/>
      <c r="D3" s="65"/>
      <c r="E3" s="65"/>
      <c r="F3" s="65"/>
      <c r="G3" s="65"/>
    </row>
    <row r="4" spans="1:15" s="2" customFormat="1" ht="12.75" customHeight="1" x14ac:dyDescent="0.2">
      <c r="A4" s="90" t="s">
        <v>36</v>
      </c>
      <c r="B4" s="90"/>
      <c r="C4" s="90"/>
      <c r="D4" s="90"/>
      <c r="E4" s="90"/>
      <c r="F4" s="90"/>
      <c r="G4" s="90"/>
    </row>
    <row r="5" spans="1:15" s="2" customFormat="1" ht="12.75" customHeight="1" x14ac:dyDescent="0.2">
      <c r="A5" s="66"/>
      <c r="B5" s="66"/>
      <c r="C5" s="66"/>
      <c r="D5" s="66"/>
      <c r="E5" s="66"/>
      <c r="F5" s="66"/>
      <c r="G5" s="66"/>
    </row>
    <row r="6" spans="1:15" s="2" customFormat="1" ht="9" customHeight="1" thickBot="1" x14ac:dyDescent="0.25">
      <c r="A6" s="27"/>
      <c r="B6" s="30"/>
      <c r="C6" s="30"/>
      <c r="D6" s="27"/>
      <c r="E6" s="1"/>
      <c r="F6" s="1"/>
      <c r="G6" s="30"/>
    </row>
    <row r="7" spans="1:15" s="2" customFormat="1" ht="24" customHeight="1" thickTop="1" thickBot="1" x14ac:dyDescent="0.35">
      <c r="A7" s="23"/>
      <c r="B7" s="64" t="s">
        <v>32</v>
      </c>
      <c r="C7" s="70" t="s">
        <v>46</v>
      </c>
      <c r="D7" s="51"/>
      <c r="E7" s="44"/>
      <c r="F7" s="44"/>
      <c r="G7" s="4"/>
    </row>
    <row r="8" spans="1:15" s="2" customFormat="1" ht="24" customHeight="1" thickTop="1" thickBot="1" x14ac:dyDescent="0.25">
      <c r="A8" s="23"/>
      <c r="B8" s="62" t="s">
        <v>33</v>
      </c>
      <c r="C8" s="71"/>
      <c r="D8" s="31" t="s">
        <v>45</v>
      </c>
      <c r="E8" s="44"/>
      <c r="F8" s="44"/>
      <c r="G8" s="4"/>
    </row>
    <row r="9" spans="1:15" s="2" customFormat="1" ht="7.5" customHeight="1" thickTop="1" x14ac:dyDescent="0.3">
      <c r="A9" s="23"/>
      <c r="B9" s="29"/>
      <c r="C9" s="29"/>
      <c r="D9" s="28"/>
      <c r="E9" s="44"/>
      <c r="F9" s="44"/>
      <c r="G9" s="4"/>
      <c r="I9" s="31" t="s">
        <v>42</v>
      </c>
      <c r="J9" s="31" t="s">
        <v>43</v>
      </c>
      <c r="K9" s="31" t="s">
        <v>55</v>
      </c>
      <c r="L9" s="31" t="s">
        <v>56</v>
      </c>
    </row>
    <row r="10" spans="1:15" s="2" customFormat="1" ht="24" customHeight="1" thickBot="1" x14ac:dyDescent="0.25">
      <c r="B10" s="93" t="s">
        <v>14</v>
      </c>
      <c r="C10" s="93"/>
      <c r="D10" s="93"/>
      <c r="E10" s="34"/>
      <c r="F10" s="34"/>
      <c r="H10" s="31" t="s">
        <v>46</v>
      </c>
      <c r="I10" s="60">
        <v>0.24</v>
      </c>
      <c r="J10" s="61">
        <v>18</v>
      </c>
      <c r="K10" s="56">
        <f>+Factor!C1</f>
        <v>1800</v>
      </c>
      <c r="L10" s="69">
        <v>99999999999.990005</v>
      </c>
    </row>
    <row r="11" spans="1:15" s="2" customFormat="1" ht="24" customHeight="1" thickTop="1" thickBot="1" x14ac:dyDescent="0.25">
      <c r="B11" s="24"/>
      <c r="C11" s="62" t="s">
        <v>48</v>
      </c>
      <c r="D11" s="81"/>
      <c r="E11" s="31" t="s">
        <v>19</v>
      </c>
      <c r="F11" s="34"/>
      <c r="H11" s="31" t="s">
        <v>59</v>
      </c>
      <c r="I11" s="60">
        <v>0.24</v>
      </c>
      <c r="J11" s="61">
        <v>12</v>
      </c>
      <c r="K11" s="56">
        <v>5200</v>
      </c>
      <c r="L11" s="69">
        <v>100000000000.99001</v>
      </c>
    </row>
    <row r="12" spans="1:15" s="2" customFormat="1" ht="24" customHeight="1" thickTop="1" thickBot="1" x14ac:dyDescent="0.25">
      <c r="B12" s="24"/>
      <c r="C12" s="62" t="s">
        <v>34</v>
      </c>
      <c r="D12" s="82"/>
      <c r="E12" s="31" t="s">
        <v>19</v>
      </c>
      <c r="F12" s="34"/>
      <c r="H12" s="31"/>
      <c r="I12" s="60"/>
      <c r="J12" s="61"/>
      <c r="K12" s="61"/>
    </row>
    <row r="13" spans="1:15" s="2" customFormat="1" ht="24" customHeight="1" thickTop="1" thickBot="1" x14ac:dyDescent="0.25">
      <c r="B13" s="24"/>
      <c r="C13" s="62" t="s">
        <v>37</v>
      </c>
      <c r="D13" s="83" t="str">
        <f>+IF(D11="","",IF(C8="Línea Auto-CRELIBA",Factor!C41,Factor!C59))</f>
        <v/>
      </c>
      <c r="E13" s="34"/>
      <c r="F13" s="34"/>
      <c r="H13" s="31"/>
      <c r="I13" s="60"/>
      <c r="J13" s="61"/>
      <c r="K13" s="61"/>
      <c r="L13" s="61"/>
    </row>
    <row r="14" spans="1:15" s="2" customFormat="1" ht="39" customHeight="1" thickTop="1" thickBot="1" x14ac:dyDescent="0.25">
      <c r="B14" s="24"/>
      <c r="C14" s="63" t="s">
        <v>31</v>
      </c>
      <c r="D14" s="84" t="str">
        <f>+IF(OR(D11="",D12=""),"",IF(C8="Línea Auto-CRELIBA",Factor!C42,Factor!C60))</f>
        <v/>
      </c>
      <c r="E14" s="34"/>
      <c r="F14" s="34"/>
      <c r="H14" s="31"/>
      <c r="K14" s="61"/>
      <c r="L14" s="61"/>
    </row>
    <row r="15" spans="1:15" s="5" customFormat="1" ht="20.25" thickTop="1" thickBot="1" x14ac:dyDescent="0.25">
      <c r="A15" s="21"/>
      <c r="B15" s="24"/>
      <c r="C15" s="62" t="s">
        <v>13</v>
      </c>
      <c r="D15" s="59" t="str">
        <f>IF(D14="","",IF(OR(D16="",D16=0),VLOOKUP($C$8,$H$10:$J$11,2,0),IF(D16&gt;VLOOKUP($C$8,$H$10:$J$11,2,0),"Verificar el plazo promocional",D16)))</f>
        <v/>
      </c>
      <c r="E15" s="4"/>
      <c r="F15" s="4"/>
      <c r="K15" s="61"/>
      <c r="L15" s="61"/>
      <c r="O15" s="2"/>
    </row>
    <row r="16" spans="1:15" s="5" customFormat="1" ht="20.25" hidden="1" thickTop="1" thickBot="1" x14ac:dyDescent="0.25">
      <c r="A16" s="21"/>
      <c r="B16" s="24"/>
      <c r="C16" s="62" t="s">
        <v>22</v>
      </c>
      <c r="D16" s="57"/>
      <c r="E16" s="4"/>
      <c r="F16" s="4"/>
      <c r="K16" s="61"/>
      <c r="L16" s="61"/>
      <c r="O16" s="2"/>
    </row>
    <row r="17" spans="1:15" s="2" customFormat="1" ht="20.25" thickTop="1" thickBot="1" x14ac:dyDescent="0.25">
      <c r="A17" s="22"/>
      <c r="B17" s="24"/>
      <c r="C17" s="62" t="s">
        <v>50</v>
      </c>
      <c r="D17" s="32" t="str">
        <f>IF(D14="","",IF(OR(D18="",D18=0),VLOOKUP($C$8,$H$10:$J$11,3,0),IF(D18&gt;VLOOKUP($C$8,$H$10:$J$11,3,0),"El plazo máximo del crédito es de 18 cuotas",D18)))</f>
        <v/>
      </c>
      <c r="K17" s="61"/>
      <c r="L17" s="61"/>
    </row>
    <row r="18" spans="1:15" s="2" customFormat="1" ht="20.25" thickTop="1" thickBot="1" x14ac:dyDescent="0.25">
      <c r="A18" s="6"/>
      <c r="B18" s="24"/>
      <c r="C18" s="62" t="s">
        <v>51</v>
      </c>
      <c r="D18" s="58"/>
      <c r="E18" s="31" t="s">
        <v>60</v>
      </c>
      <c r="K18" s="61"/>
      <c r="L18" s="61"/>
    </row>
    <row r="19" spans="1:15" ht="24" customHeight="1" thickTop="1" thickBot="1" x14ac:dyDescent="0.25">
      <c r="A19" s="7"/>
      <c r="B19" s="98" t="s">
        <v>16</v>
      </c>
      <c r="C19" s="98"/>
      <c r="D19" s="98"/>
      <c r="E19" s="7"/>
      <c r="F19" s="7"/>
      <c r="H19" s="7"/>
      <c r="J19" s="31"/>
      <c r="K19" s="61"/>
      <c r="L19" s="61"/>
    </row>
    <row r="20" spans="1:15" s="2" customFormat="1" ht="21.75" customHeight="1" thickTop="1" thickBot="1" x14ac:dyDescent="0.25">
      <c r="B20" s="92" t="s">
        <v>52</v>
      </c>
      <c r="C20" s="92"/>
      <c r="D20" s="81"/>
      <c r="E20" s="31" t="s">
        <v>19</v>
      </c>
      <c r="F20" s="52"/>
      <c r="H20" s="31" t="s">
        <v>27</v>
      </c>
      <c r="J20" s="56"/>
      <c r="K20" s="61"/>
      <c r="L20" s="61"/>
    </row>
    <row r="21" spans="1:15" s="2" customFormat="1" ht="16.5" customHeight="1" thickTop="1" thickBot="1" x14ac:dyDescent="0.25">
      <c r="B21" s="94" t="s">
        <v>57</v>
      </c>
      <c r="C21" s="95"/>
      <c r="D21" s="85"/>
      <c r="E21" s="31" t="s">
        <v>58</v>
      </c>
      <c r="F21" s="52"/>
      <c r="G21" s="31"/>
      <c r="H21" s="31" t="s">
        <v>28</v>
      </c>
      <c r="K21" s="61"/>
      <c r="L21" s="61"/>
    </row>
    <row r="22" spans="1:15" s="2" customFormat="1" ht="20.25" thickTop="1" thickBot="1" x14ac:dyDescent="0.25">
      <c r="A22" s="1"/>
      <c r="B22" s="92" t="s">
        <v>53</v>
      </c>
      <c r="C22" s="92"/>
      <c r="D22" s="85"/>
      <c r="E22" s="31" t="s">
        <v>19</v>
      </c>
      <c r="F22" s="52"/>
      <c r="G22" s="31"/>
      <c r="K22" s="61"/>
      <c r="L22" s="61"/>
    </row>
    <row r="23" spans="1:15" ht="20.25" thickTop="1" thickBot="1" x14ac:dyDescent="0.25">
      <c r="A23" s="8"/>
      <c r="B23" s="101" t="s">
        <v>15</v>
      </c>
      <c r="C23" s="102"/>
      <c r="D23" s="47"/>
      <c r="E23" s="31" t="s">
        <v>19</v>
      </c>
      <c r="F23" s="52"/>
    </row>
    <row r="24" spans="1:15" ht="20.25" thickTop="1" thickBot="1" x14ac:dyDescent="0.25">
      <c r="A24" s="8"/>
      <c r="B24" s="103" t="s">
        <v>25</v>
      </c>
      <c r="C24" s="95"/>
      <c r="D24" s="46"/>
      <c r="E24" s="31" t="s">
        <v>19</v>
      </c>
      <c r="F24" s="52"/>
    </row>
    <row r="25" spans="1:15" ht="20.25" hidden="1" thickTop="1" thickBot="1" x14ac:dyDescent="0.25">
      <c r="A25" s="8"/>
      <c r="B25" s="91" t="s">
        <v>54</v>
      </c>
      <c r="C25" s="91"/>
      <c r="D25" s="68" t="str">
        <f>+IF(OR(D11="",D12="",D20="",D22="",D23="",D24=""),"",IF(C8="Línea Auto-CRELIBA",Factor!B42,IF(C8="Línea Auto-BAVARIAN",Factor!B60,"")))</f>
        <v/>
      </c>
      <c r="E25" s="31"/>
      <c r="F25" s="52"/>
      <c r="O25" s="2">
        <f>+O17+1</f>
        <v>1</v>
      </c>
    </row>
    <row r="26" spans="1:15" ht="20.25" hidden="1" thickTop="1" thickBot="1" x14ac:dyDescent="0.25">
      <c r="A26" s="10"/>
      <c r="B26" s="91" t="s">
        <v>5</v>
      </c>
      <c r="C26" s="91"/>
      <c r="D26" s="33" t="str">
        <f>+IF(OR(D11="",D12="",D20="",D22="",D23="",D24=""),"",IF(C8="Línea Auto-CRELIBA",Factor!B38,IF(C8="Línea Auto-BAVARIAN",Factor!B56,"")))</f>
        <v/>
      </c>
      <c r="E26" s="15"/>
      <c r="F26" s="53"/>
      <c r="O26" s="2">
        <f>+O25+1</f>
        <v>2</v>
      </c>
    </row>
    <row r="27" spans="1:15" s="3" customFormat="1" ht="21.75" hidden="1" thickTop="1" thickBot="1" x14ac:dyDescent="0.25">
      <c r="A27" s="9"/>
      <c r="B27" s="91" t="s">
        <v>2</v>
      </c>
      <c r="C27" s="91"/>
      <c r="D27" s="33" t="str">
        <f>+IF(OR(D11="",D12="",D20="",D22="",D23="",D24=""),"",IF(C8="Línea Auto-CRELIBA",Factor!B29,IF(C8="Línea Auto-BAVARIAN",Factor!B47,"")))</f>
        <v/>
      </c>
      <c r="G27" s="45"/>
      <c r="O27" s="2">
        <f>+O26+1</f>
        <v>3</v>
      </c>
    </row>
    <row r="28" spans="1:15" s="3" customFormat="1" ht="19.5" thickTop="1" thickBot="1" x14ac:dyDescent="0.25">
      <c r="A28" s="2"/>
      <c r="B28" s="99" t="s">
        <v>20</v>
      </c>
      <c r="C28" s="99"/>
      <c r="D28" s="99"/>
      <c r="E28" s="31"/>
      <c r="F28" s="31"/>
      <c r="G28" s="31"/>
      <c r="H28" s="31"/>
      <c r="I28" s="31"/>
      <c r="O28" s="2"/>
    </row>
    <row r="29" spans="1:15" s="2" customFormat="1" ht="39.75" customHeight="1" thickTop="1" thickBot="1" x14ac:dyDescent="0.25">
      <c r="A29" s="10"/>
      <c r="B29" s="100" t="str">
        <f>+IF(D12&gt;=D11,"",IF(D14&lt;15,"El monto del crédito debe ser mayor o igual a Bs.S.15,00",IF(C8="Línea Auto",Factor!C44,IF(C8="LAB Alianza",Factor!C62,""))))</f>
        <v/>
      </c>
      <c r="C29" s="100"/>
      <c r="D29" s="80" t="str">
        <f>+IF(OR(B29="Inicial menor a la requerida",B29="Capacidad de pago insuficiente",B29=""),"",IF(AND(C8="Línea Auto",Factor!C43&gt;=0),Factor!C43,IF(AND(C8="LAB Alianza",Factor!C61&gt;=0),Factor!C61,"")))</f>
        <v/>
      </c>
      <c r="E29" s="77"/>
      <c r="F29" s="31"/>
      <c r="G29" s="31"/>
      <c r="H29" s="31"/>
      <c r="I29" s="31"/>
    </row>
    <row r="30" spans="1:15" s="2" customFormat="1" ht="19.5" thickTop="1" thickBot="1" x14ac:dyDescent="0.25">
      <c r="A30" s="10"/>
      <c r="B30" s="99" t="s">
        <v>18</v>
      </c>
      <c r="C30" s="99"/>
      <c r="D30" s="99"/>
      <c r="E30" s="31"/>
      <c r="F30" s="31"/>
      <c r="G30" s="31"/>
      <c r="H30" s="31"/>
      <c r="I30" s="31"/>
    </row>
    <row r="31" spans="1:15" s="2" customFormat="1" ht="21.75" thickTop="1" thickBot="1" x14ac:dyDescent="0.25">
      <c r="A31" s="10"/>
      <c r="B31" s="100" t="str">
        <f>+IF(OR(B29="Inicial menor a la requerida",B29="Capacidad de pago insuficiente",B29=""),"","Cuota mensual")</f>
        <v/>
      </c>
      <c r="C31" s="100"/>
      <c r="D31" s="80" t="str">
        <f>+IF(OR(B29="Inicial menor a la requerida",B29="Capacidad de pago insuficiente",B29=""),"",IF(C8="Línea Auto",Factor!B43,IF(C8="LAB Alianza",Factor!B61,"")))</f>
        <v/>
      </c>
      <c r="E31" s="31"/>
      <c r="F31" s="31"/>
      <c r="G31" s="31"/>
      <c r="H31" s="31"/>
      <c r="I31" s="31"/>
      <c r="O31" s="1"/>
    </row>
    <row r="32" spans="1:15" s="2" customFormat="1" ht="21.75" thickTop="1" thickBot="1" x14ac:dyDescent="0.25">
      <c r="A32" s="10"/>
      <c r="B32" s="26"/>
      <c r="C32" s="26"/>
      <c r="D32" s="25"/>
      <c r="E32" s="31"/>
      <c r="F32" s="31"/>
      <c r="G32" s="31"/>
      <c r="H32" s="31"/>
      <c r="I32" s="31"/>
    </row>
    <row r="33" spans="1:9" s="2" customFormat="1" ht="24" customHeight="1" thickTop="1" thickBot="1" x14ac:dyDescent="0.25">
      <c r="A33" s="13"/>
      <c r="B33" s="11"/>
      <c r="C33" s="12"/>
      <c r="D33" s="67">
        <f ca="1">TODAY()</f>
        <v>43403</v>
      </c>
      <c r="E33" s="31"/>
      <c r="F33" s="31"/>
      <c r="G33" s="31"/>
      <c r="H33" s="31"/>
      <c r="I33" s="31"/>
    </row>
    <row r="34" spans="1:9" s="2" customFormat="1" ht="19.5" customHeight="1" thickTop="1" thickBot="1" x14ac:dyDescent="0.25">
      <c r="A34" s="13"/>
      <c r="B34" s="96" t="s">
        <v>49</v>
      </c>
      <c r="C34" s="97"/>
      <c r="D34" s="97"/>
      <c r="E34" s="31"/>
      <c r="F34" s="31"/>
      <c r="G34" s="31"/>
      <c r="H34" s="31"/>
      <c r="I34" s="31"/>
    </row>
    <row r="35" spans="1:9" s="2" customFormat="1" ht="23.25" customHeight="1" thickTop="1" x14ac:dyDescent="0.2">
      <c r="A35" s="13"/>
      <c r="B35" s="42"/>
      <c r="C35" s="43"/>
      <c r="D35" s="43"/>
      <c r="E35" s="13"/>
      <c r="F35" s="13"/>
    </row>
  </sheetData>
  <sheetProtection password="CB1F" sheet="1" objects="1" scenarios="1" selectLockedCells="1"/>
  <dataConsolidate/>
  <mergeCells count="17">
    <mergeCell ref="B34:D34"/>
    <mergeCell ref="B19:D19"/>
    <mergeCell ref="B30:D30"/>
    <mergeCell ref="B28:D28"/>
    <mergeCell ref="B31:C31"/>
    <mergeCell ref="B25:C25"/>
    <mergeCell ref="B29:C29"/>
    <mergeCell ref="B26:C26"/>
    <mergeCell ref="B22:C22"/>
    <mergeCell ref="B23:C23"/>
    <mergeCell ref="B24:C24"/>
    <mergeCell ref="A2:G2"/>
    <mergeCell ref="A4:G4"/>
    <mergeCell ref="B27:C27"/>
    <mergeCell ref="B20:C20"/>
    <mergeCell ref="B10:D10"/>
    <mergeCell ref="B21:C21"/>
  </mergeCells>
  <phoneticPr fontId="3" type="noConversion"/>
  <conditionalFormatting sqref="B31:D32 D29">
    <cfRule type="expression" dxfId="6" priority="17" stopIfTrue="1">
      <formula>$B$29="Califica para el monto solicitado"</formula>
    </cfRule>
    <cfRule type="expression" dxfId="5" priority="18" stopIfTrue="1">
      <formula>$B$29="Máximo monto"</formula>
    </cfRule>
  </conditionalFormatting>
  <conditionalFormatting sqref="A27">
    <cfRule type="cellIs" dxfId="4" priority="16" stopIfTrue="1" operator="equal">
      <formula>"""Nivel de ingreso SATISFACTORIO para Crédito solicitado"""</formula>
    </cfRule>
  </conditionalFormatting>
  <conditionalFormatting sqref="B29:C29">
    <cfRule type="expression" dxfId="3" priority="23" stopIfTrue="1">
      <formula>OR($B$29="Inicial menor a la requerida",$B$29="Capacidad de Pago Insuficiente")</formula>
    </cfRule>
    <cfRule type="cellIs" dxfId="2" priority="24" stopIfTrue="1" operator="equal">
      <formula>"Califica para el monto solicitado"</formula>
    </cfRule>
    <cfRule type="cellIs" dxfId="1" priority="25" stopIfTrue="1" operator="equal">
      <formula>"Máximo monto"</formula>
    </cfRule>
  </conditionalFormatting>
  <conditionalFormatting sqref="D13">
    <cfRule type="expression" dxfId="0" priority="1" stopIfTrue="1">
      <formula>$B$29="Inicial menor a la requerida"</formula>
    </cfRule>
  </conditionalFormatting>
  <dataValidations xWindow="652" yWindow="589" count="11">
    <dataValidation type="decimal" allowBlank="1" showErrorMessage="1" errorTitle="Error en Valor Ingresado" error="Ingreso Mensual fuera de los parametros de salario mínimo establecidos para este producto. _x000a_Ingreso Mínimo Bs.S. 1576,00" sqref="D20">
      <formula1>IF(C8="Línea Auto-CRELIBA",K10,K11)</formula1>
      <formula2>IF(C8="Línea Auto-CRELIBA",L10,L11)</formula2>
    </dataValidation>
    <dataValidation type="whole" allowBlank="1" showErrorMessage="1" errorTitle="Error en Valor Ingresado" error="Por favor verifique el valor ingresado, el cual debe ser igual o mayor a 0_x000a_" promptTitle="Carga Familiar no incluye al Sol" sqref="D23">
      <formula1>0</formula1>
      <formula2>99</formula2>
    </dataValidation>
    <dataValidation type="decimal" allowBlank="1" showErrorMessage="1" errorTitle="Error en Valor Ingresado" error="Por favor verifique el valor ingresado, el cual debe ser igual o mayor a 0" sqref="D21:D22">
      <formula1>0</formula1>
      <formula2>99999999999.99</formula2>
    </dataValidation>
    <dataValidation type="list" allowBlank="1" showErrorMessage="1" error="_x000a_" promptTitle="Carga Familiar no incluye al Sol" sqref="D24">
      <formula1>$H$20:$H$21</formula1>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H11 H14"/>
    <dataValidation type="list" allowBlank="1" showInputMessage="1" showErrorMessage="1" sqref="C8">
      <formula1>$H$10:$H$11</formula1>
    </dataValidation>
    <dataValidation type="decimal" allowBlank="1" showInputMessage="1" showErrorMessage="1" errorTitle="Error en Monto Ingresado" error="Por favor verifique que el valor ingresado corresponda a un monto mayor o igual Bs.S. 20.000,00" promptTitle="Ingreso un Valor en Número" sqref="D11">
      <formula1>20000</formula1>
      <formula2>9999999999.99</formula2>
    </dataValidation>
    <dataValidation allowBlank="1" showErrorMessage="1" error="_x000a_" promptTitle="Carga Familiar no incluye al Sol" sqref="D25"/>
    <dataValidation operator="greaterThan" allowBlank="1" showInputMessage="1" showErrorMessage="1" sqref="D29"/>
    <dataValidation allowBlank="1" showInputMessage="1" showErrorMessage="1" error="El monto del crédito debe ser mayor o igual a Bs.S. 20.000,00" sqref="D14"/>
    <dataValidation type="decimal" allowBlank="1" showInputMessage="1" showErrorMessage="1" error="El monto de la inicial debe ser mayor o igual al monto de la inicial mínima requerida" sqref="D12">
      <formula1>D13</formula1>
      <formula2>D11</formula2>
    </dataValidation>
  </dataValidations>
  <printOptions horizontalCentered="1"/>
  <pageMargins left="0.196850393700787" right="0" top="0.34055118099999998" bottom="0.39370078740157499" header="0" footer="0"/>
  <pageSetup scale="46" orientation="portrait" r:id="rId1"/>
  <headerFooter alignWithMargins="0">
    <oddHeader>&amp;R&amp;"Tahoma,Negrita Cursiva"&amp;12Fecha de emisión: &amp;D</oddHeader>
  </headerFooter>
  <ignoredErrors>
    <ignoredError sqref="D25" unlockedFormula="1"/>
  </ignoredErrors>
  <drawing r:id="rId2"/>
  <legacyDrawing r:id="rId3"/>
  <extLst>
    <ext xmlns:x14="http://schemas.microsoft.com/office/spreadsheetml/2009/9/main" uri="{CCE6A557-97BC-4b89-ADB6-D9C93CAAB3DF}">
      <x14:dataValidations xmlns:xm="http://schemas.microsoft.com/office/excel/2006/main" xWindow="652" yWindow="589" count="1">
        <x14:dataValidation type="list" allowBlank="1" showInputMessage="1" showErrorMessage="1">
          <x14:formula1>
            <xm:f>Factor!$A$67</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68"/>
  <sheetViews>
    <sheetView topLeftCell="A29" workbookViewId="0">
      <selection activeCell="C44" sqref="C44"/>
    </sheetView>
  </sheetViews>
  <sheetFormatPr baseColWidth="10" defaultRowHeight="12.75" x14ac:dyDescent="0.2"/>
  <cols>
    <col min="1" max="1" width="50.42578125" bestFit="1" customWidth="1"/>
    <col min="2" max="2" width="20.28515625" bestFit="1" customWidth="1"/>
    <col min="3" max="3" width="55.28515625" bestFit="1" customWidth="1"/>
    <col min="4" max="4" width="13" bestFit="1" customWidth="1"/>
    <col min="5" max="5" width="10.140625" bestFit="1" customWidth="1"/>
    <col min="6" max="6" width="7.85546875" bestFit="1" customWidth="1"/>
    <col min="7" max="7" width="16.7109375" bestFit="1" customWidth="1"/>
    <col min="8" max="8" width="15.7109375" bestFit="1" customWidth="1"/>
    <col min="9" max="9" width="8.85546875" customWidth="1"/>
    <col min="10" max="10" width="7.85546875" bestFit="1" customWidth="1"/>
  </cols>
  <sheetData>
    <row r="1" spans="1:8" x14ac:dyDescent="0.2">
      <c r="A1" s="18" t="s">
        <v>62</v>
      </c>
      <c r="B1" s="20">
        <f ca="1">+TODAY()</f>
        <v>43403</v>
      </c>
      <c r="C1" s="19">
        <v>1800</v>
      </c>
      <c r="E1" s="72"/>
      <c r="F1" s="73">
        <v>6746.98</v>
      </c>
    </row>
    <row r="2" spans="1:8" x14ac:dyDescent="0.2">
      <c r="A2" s="18" t="s">
        <v>17</v>
      </c>
      <c r="B2" s="20">
        <f ca="1">+B1</f>
        <v>43403</v>
      </c>
      <c r="C2" s="19">
        <v>1.2E-2</v>
      </c>
      <c r="E2" s="74">
        <v>42186</v>
      </c>
      <c r="F2" s="75">
        <v>7421.68</v>
      </c>
    </row>
    <row r="3" spans="1:8" x14ac:dyDescent="0.2">
      <c r="A3" s="18" t="s">
        <v>38</v>
      </c>
      <c r="B3" s="20">
        <f ca="1">+B2</f>
        <v>43403</v>
      </c>
      <c r="C3" s="19">
        <v>0.05</v>
      </c>
    </row>
    <row r="4" spans="1:8" x14ac:dyDescent="0.2">
      <c r="A4" s="18" t="s">
        <v>39</v>
      </c>
      <c r="B4" s="20">
        <f ca="1">+B3</f>
        <v>43403</v>
      </c>
      <c r="C4" s="19">
        <v>7.0000000000000007E-2</v>
      </c>
    </row>
    <row r="5" spans="1:8" x14ac:dyDescent="0.2">
      <c r="A5" s="18" t="s">
        <v>63</v>
      </c>
      <c r="B5" s="86">
        <v>408.97772450194213</v>
      </c>
    </row>
    <row r="6" spans="1:8" x14ac:dyDescent="0.2">
      <c r="A6" s="18" t="s">
        <v>29</v>
      </c>
    </row>
    <row r="7" spans="1:8" x14ac:dyDescent="0.2">
      <c r="A7" s="18" t="s">
        <v>0</v>
      </c>
      <c r="B7" s="18" t="s">
        <v>1</v>
      </c>
      <c r="C7" s="18" t="s">
        <v>7</v>
      </c>
      <c r="D7" s="18" t="s">
        <v>8</v>
      </c>
      <c r="E7" s="18" t="s">
        <v>6</v>
      </c>
      <c r="F7" s="18" t="s">
        <v>8</v>
      </c>
      <c r="G7" s="18" t="s">
        <v>65</v>
      </c>
      <c r="H7" s="18" t="s">
        <v>64</v>
      </c>
    </row>
    <row r="8" spans="1:8" x14ac:dyDescent="0.2">
      <c r="A8" s="50">
        <v>1440</v>
      </c>
      <c r="B8" s="50">
        <v>2178</v>
      </c>
      <c r="C8" s="40">
        <v>10</v>
      </c>
      <c r="D8" s="40">
        <v>3.4802564155294116</v>
      </c>
      <c r="E8" s="17" t="str">
        <f>IF((($B$30*80%)+(50%*$B$31))&gt;=A8,IF((($B$30*80%)+(50%*$B$31))&lt;B8,C8," ")," ")</f>
        <v xml:space="preserve"> </v>
      </c>
      <c r="F8" s="48" t="str">
        <f>IF((($B$30*80%)+(50%*$B$31))&gt;=A8,IF((($B$30*80%)+(50%*$B$31))&lt;B8,D8," ")," ")</f>
        <v xml:space="preserve"> </v>
      </c>
      <c r="G8" s="87">
        <v>0.1</v>
      </c>
      <c r="H8" s="40">
        <v>1</v>
      </c>
    </row>
    <row r="9" spans="1:8" x14ac:dyDescent="0.2">
      <c r="A9" s="50">
        <v>2178</v>
      </c>
      <c r="B9" s="50">
        <v>2395.8000000000002</v>
      </c>
      <c r="C9" s="40">
        <v>10</v>
      </c>
      <c r="D9" s="40">
        <v>3.4802564155294116</v>
      </c>
      <c r="E9" s="17" t="str">
        <f t="shared" ref="E9:E15" si="0">IF((($B$30*80%)+(50%*$B$31))&gt;=A9,IF((($B$30*80%)+(50%*$B$31))&lt;B9,C9," ")," ")</f>
        <v xml:space="preserve"> </v>
      </c>
      <c r="F9" s="48" t="str">
        <f t="shared" ref="F9:F15" si="1">IF((($B$30*80%)+(50%*$B$31))&gt;=A9,IF((($B$30*80%)+(50%*$B$31))&lt;B9,D9," ")," ")</f>
        <v xml:space="preserve"> </v>
      </c>
      <c r="G9" s="87">
        <v>0.1</v>
      </c>
      <c r="H9" s="40">
        <v>1</v>
      </c>
    </row>
    <row r="10" spans="1:8" x14ac:dyDescent="0.2">
      <c r="A10" s="50">
        <v>2395.8000000000002</v>
      </c>
      <c r="B10" s="50">
        <v>2874.96</v>
      </c>
      <c r="C10" s="40">
        <v>10</v>
      </c>
      <c r="D10" s="40">
        <v>4.3503205194117642</v>
      </c>
      <c r="E10" s="17" t="str">
        <f t="shared" si="0"/>
        <v xml:space="preserve"> </v>
      </c>
      <c r="F10" s="48" t="str">
        <f t="shared" si="1"/>
        <v xml:space="preserve"> </v>
      </c>
      <c r="G10" s="87">
        <v>0.2</v>
      </c>
      <c r="H10" s="40">
        <v>1.25</v>
      </c>
    </row>
    <row r="11" spans="1:8" x14ac:dyDescent="0.2">
      <c r="A11" s="50">
        <v>2874.96</v>
      </c>
      <c r="B11" s="50">
        <v>3449.9520000000002</v>
      </c>
      <c r="C11" s="40">
        <v>10</v>
      </c>
      <c r="D11" s="40">
        <v>5.2203846232941178</v>
      </c>
      <c r="E11" s="17" t="str">
        <f t="shared" si="0"/>
        <v xml:space="preserve"> </v>
      </c>
      <c r="F11" s="48" t="str">
        <f t="shared" si="1"/>
        <v xml:space="preserve"> </v>
      </c>
      <c r="G11" s="87">
        <v>0.2</v>
      </c>
      <c r="H11" s="40">
        <v>1.5</v>
      </c>
    </row>
    <row r="12" spans="1:8" x14ac:dyDescent="0.2">
      <c r="A12" s="50">
        <v>3449.9520000000002</v>
      </c>
      <c r="B12" s="50">
        <v>4484.9376000000002</v>
      </c>
      <c r="C12" s="40">
        <v>10</v>
      </c>
      <c r="D12" s="40">
        <v>6.0904487271764705</v>
      </c>
      <c r="E12" s="17" t="str">
        <f t="shared" si="0"/>
        <v xml:space="preserve"> </v>
      </c>
      <c r="F12" s="48" t="str">
        <f t="shared" si="1"/>
        <v xml:space="preserve"> </v>
      </c>
      <c r="G12" s="87">
        <v>0.3</v>
      </c>
      <c r="H12" s="40">
        <v>1.75</v>
      </c>
    </row>
    <row r="13" spans="1:8" x14ac:dyDescent="0.2">
      <c r="A13" s="50">
        <v>4484.9376000000002</v>
      </c>
      <c r="B13" s="50">
        <v>5830.4188800000002</v>
      </c>
      <c r="C13" s="40">
        <v>10</v>
      </c>
      <c r="D13" s="40">
        <v>6.9605128310588231</v>
      </c>
      <c r="E13" s="17" t="str">
        <f t="shared" si="0"/>
        <v xml:space="preserve"> </v>
      </c>
      <c r="F13" s="48" t="str">
        <f t="shared" si="1"/>
        <v xml:space="preserve"> </v>
      </c>
      <c r="G13" s="87">
        <v>0.3</v>
      </c>
      <c r="H13" s="40">
        <v>2</v>
      </c>
    </row>
    <row r="14" spans="1:8" x14ac:dyDescent="0.2">
      <c r="A14" s="50">
        <v>5830.4188800000002</v>
      </c>
      <c r="B14" s="50">
        <v>8162.5864320000001</v>
      </c>
      <c r="C14" s="40">
        <v>10</v>
      </c>
      <c r="D14" s="40">
        <v>7.3085384726117644</v>
      </c>
      <c r="E14" s="17" t="str">
        <f t="shared" si="0"/>
        <v xml:space="preserve"> </v>
      </c>
      <c r="F14" s="48" t="str">
        <f t="shared" si="1"/>
        <v xml:space="preserve"> </v>
      </c>
      <c r="G14" s="87">
        <v>0.4</v>
      </c>
      <c r="H14" s="40">
        <v>2.1</v>
      </c>
    </row>
    <row r="15" spans="1:8" x14ac:dyDescent="0.2">
      <c r="A15" s="50">
        <v>8162.5864320000001</v>
      </c>
      <c r="B15" s="50">
        <v>11427.621004799999</v>
      </c>
      <c r="C15" s="40">
        <v>10</v>
      </c>
      <c r="D15" s="40">
        <v>7.8305769349411758</v>
      </c>
      <c r="E15" s="17" t="str">
        <f t="shared" si="0"/>
        <v xml:space="preserve"> </v>
      </c>
      <c r="F15" s="48" t="str">
        <f t="shared" si="1"/>
        <v xml:space="preserve"> </v>
      </c>
      <c r="G15" s="87">
        <v>0.4</v>
      </c>
      <c r="H15" s="40">
        <v>2.25</v>
      </c>
    </row>
    <row r="16" spans="1:8" x14ac:dyDescent="0.2">
      <c r="A16" s="50">
        <v>11427.621004799999</v>
      </c>
      <c r="B16" s="50">
        <v>17141.431507199999</v>
      </c>
      <c r="C16" s="40">
        <v>10</v>
      </c>
      <c r="D16" s="40">
        <v>8.7006410388235285</v>
      </c>
      <c r="E16" s="17" t="str">
        <f t="shared" ref="E16:E24" si="2">IF((($B$30*80%)+(50%*$B$31))&gt;=A16,IF((($B$30*80%)+(50%*$B$31))&lt;B16,C16," ")," ")</f>
        <v xml:space="preserve"> </v>
      </c>
      <c r="F16" s="48" t="str">
        <f t="shared" ref="F16:F24" si="3">IF((($B$30*80%)+(50%*$B$31))&gt;=A16,IF((($B$30*80%)+(50%*$B$31))&lt;B16,D16," ")," ")</f>
        <v xml:space="preserve"> </v>
      </c>
      <c r="G16" s="87">
        <v>0.5</v>
      </c>
      <c r="H16" s="40">
        <v>2.5</v>
      </c>
    </row>
    <row r="17" spans="1:8" x14ac:dyDescent="0.2">
      <c r="A17" s="50">
        <v>17141.431507199999</v>
      </c>
      <c r="B17" s="50">
        <v>25712.147260799997</v>
      </c>
      <c r="C17" s="40">
        <v>10</v>
      </c>
      <c r="D17" s="40">
        <v>9.5707051427058811</v>
      </c>
      <c r="E17" s="17" t="str">
        <f t="shared" si="2"/>
        <v xml:space="preserve"> </v>
      </c>
      <c r="F17" s="48" t="str">
        <f t="shared" si="3"/>
        <v xml:space="preserve"> </v>
      </c>
      <c r="G17" s="87">
        <v>0.5</v>
      </c>
      <c r="H17" s="40">
        <v>2.75</v>
      </c>
    </row>
    <row r="18" spans="1:8" x14ac:dyDescent="0.2">
      <c r="A18" s="50">
        <v>25712.147260799997</v>
      </c>
      <c r="B18" s="50">
        <v>38568.220891199991</v>
      </c>
      <c r="C18" s="40">
        <v>10</v>
      </c>
      <c r="D18" s="40">
        <v>10.440769246588236</v>
      </c>
      <c r="E18" s="17" t="str">
        <f t="shared" si="2"/>
        <v xml:space="preserve"> </v>
      </c>
      <c r="F18" s="48" t="str">
        <f>IF((($B$30*80%)+(50%*$B$31))&gt;=A18,IF((($B$30*80%)+(50%*$B$31))&lt;B18,D18," ")," ")</f>
        <v xml:space="preserve"> </v>
      </c>
      <c r="G18" s="87">
        <v>0.5</v>
      </c>
      <c r="H18" s="40">
        <v>3</v>
      </c>
    </row>
    <row r="19" spans="1:8" x14ac:dyDescent="0.2">
      <c r="A19" s="50">
        <v>38568.220891199991</v>
      </c>
      <c r="B19" s="50">
        <v>53995.509247679991</v>
      </c>
      <c r="C19" s="40">
        <v>10</v>
      </c>
      <c r="D19" s="40">
        <v>10.788794888141176</v>
      </c>
      <c r="E19" s="17" t="str">
        <f t="shared" si="2"/>
        <v xml:space="preserve"> </v>
      </c>
      <c r="F19" s="48" t="str">
        <f t="shared" si="3"/>
        <v xml:space="preserve"> </v>
      </c>
      <c r="G19" s="87">
        <v>0.4</v>
      </c>
      <c r="H19" s="40">
        <v>3.1</v>
      </c>
    </row>
    <row r="20" spans="1:8" x14ac:dyDescent="0.2">
      <c r="A20" s="50">
        <v>53995.509247679991</v>
      </c>
      <c r="B20" s="50">
        <v>70194.162021983982</v>
      </c>
      <c r="C20" s="40">
        <v>10</v>
      </c>
      <c r="D20" s="40">
        <v>11.310833350470588</v>
      </c>
      <c r="E20" s="17" t="str">
        <f t="shared" si="2"/>
        <v xml:space="preserve"> </v>
      </c>
      <c r="F20" s="48" t="str">
        <f t="shared" si="3"/>
        <v xml:space="preserve"> </v>
      </c>
      <c r="G20" s="87">
        <v>0.3</v>
      </c>
      <c r="H20" s="40">
        <v>3.25</v>
      </c>
    </row>
    <row r="21" spans="1:8" x14ac:dyDescent="0.2">
      <c r="A21" s="50">
        <v>70194.162021983982</v>
      </c>
      <c r="B21" s="50">
        <v>84232.994426380785</v>
      </c>
      <c r="C21" s="40">
        <v>10</v>
      </c>
      <c r="D21" s="40">
        <v>12.180897454352941</v>
      </c>
      <c r="E21" s="17" t="str">
        <f t="shared" si="2"/>
        <v xml:space="preserve"> </v>
      </c>
      <c r="F21" s="48" t="str">
        <f t="shared" si="3"/>
        <v xml:space="preserve"> </v>
      </c>
      <c r="G21" s="87">
        <v>0.2</v>
      </c>
      <c r="H21" s="40">
        <v>3.5</v>
      </c>
    </row>
    <row r="22" spans="1:8" x14ac:dyDescent="0.2">
      <c r="A22" s="50">
        <v>84232.994426380785</v>
      </c>
      <c r="B22" s="50">
        <v>92656.29386901886</v>
      </c>
      <c r="C22" s="40">
        <v>10</v>
      </c>
      <c r="D22" s="40">
        <v>13.050961558235294</v>
      </c>
      <c r="E22" s="17" t="str">
        <f t="shared" si="2"/>
        <v xml:space="preserve"> </v>
      </c>
      <c r="F22" s="48" t="str">
        <f t="shared" si="3"/>
        <v xml:space="preserve"> </v>
      </c>
      <c r="G22" s="87">
        <v>0.1</v>
      </c>
      <c r="H22" s="40">
        <v>3.75</v>
      </c>
    </row>
    <row r="23" spans="1:8" x14ac:dyDescent="0.2">
      <c r="A23" s="50">
        <v>92656.29386901886</v>
      </c>
      <c r="B23" s="50">
        <v>101921.92325592074</v>
      </c>
      <c r="C23" s="40">
        <v>10</v>
      </c>
      <c r="D23" s="40">
        <v>13.921025662117646</v>
      </c>
      <c r="E23" s="17" t="str">
        <f t="shared" si="2"/>
        <v xml:space="preserve"> </v>
      </c>
      <c r="F23" s="48" t="str">
        <f t="shared" si="3"/>
        <v xml:space="preserve"> </v>
      </c>
      <c r="G23" s="87">
        <v>0.1</v>
      </c>
      <c r="H23" s="40">
        <v>4</v>
      </c>
    </row>
    <row r="24" spans="1:8" x14ac:dyDescent="0.2">
      <c r="A24" s="50">
        <v>101921.92325592074</v>
      </c>
      <c r="B24" s="50">
        <v>999999999999</v>
      </c>
      <c r="C24" s="40">
        <v>10</v>
      </c>
      <c r="D24" s="40">
        <v>14.269051303670587</v>
      </c>
      <c r="E24" s="17" t="str">
        <f t="shared" si="2"/>
        <v xml:space="preserve"> </v>
      </c>
      <c r="F24" s="48" t="str">
        <f t="shared" si="3"/>
        <v xml:space="preserve"> </v>
      </c>
      <c r="G24" s="87">
        <v>0.1</v>
      </c>
      <c r="H24" s="40">
        <v>4.0999999999999996</v>
      </c>
    </row>
    <row r="25" spans="1:8" x14ac:dyDescent="0.2">
      <c r="A25" s="50"/>
      <c r="B25" s="50"/>
      <c r="C25" s="40"/>
      <c r="D25" s="40"/>
      <c r="E25" s="17"/>
      <c r="F25" s="48"/>
    </row>
    <row r="26" spans="1:8" x14ac:dyDescent="0.2">
      <c r="A26" s="50"/>
      <c r="B26" s="50"/>
      <c r="C26" s="40"/>
      <c r="D26" s="40"/>
      <c r="E26" s="17"/>
      <c r="F26" s="48"/>
    </row>
    <row r="28" spans="1:8" x14ac:dyDescent="0.2">
      <c r="A28" s="41" t="s">
        <v>46</v>
      </c>
      <c r="B28" s="41" t="s">
        <v>10</v>
      </c>
      <c r="C28" s="41" t="s">
        <v>12</v>
      </c>
    </row>
    <row r="29" spans="1:8" x14ac:dyDescent="0.2">
      <c r="A29" s="18" t="s">
        <v>11</v>
      </c>
      <c r="B29" s="78">
        <f>+(B30*80%)+(50%*B31)-B32-(1+B33)*B36*B37</f>
        <v>0</v>
      </c>
      <c r="C29" s="19" t="e">
        <f>+PV($B$35/12,$B$34,-$B$29,0,0)</f>
        <v>#VALUE!</v>
      </c>
    </row>
    <row r="30" spans="1:8" x14ac:dyDescent="0.2">
      <c r="A30" s="36" t="s">
        <v>24</v>
      </c>
      <c r="B30" s="78">
        <f>+Tabla!$D$20</f>
        <v>0</v>
      </c>
      <c r="C30" s="18"/>
      <c r="D30" s="49"/>
      <c r="E30" s="49"/>
    </row>
    <row r="31" spans="1:8" x14ac:dyDescent="0.2">
      <c r="A31" s="36" t="s">
        <v>23</v>
      </c>
      <c r="B31" s="78">
        <f>+Tabla!$D$21</f>
        <v>0</v>
      </c>
      <c r="C31" s="18"/>
    </row>
    <row r="32" spans="1:8" x14ac:dyDescent="0.2">
      <c r="A32" s="37" t="s">
        <v>3</v>
      </c>
      <c r="B32" s="78">
        <f>+Tabla!$D$22</f>
        <v>0</v>
      </c>
      <c r="C32" s="18"/>
    </row>
    <row r="33" spans="1:8" x14ac:dyDescent="0.2">
      <c r="A33" s="36" t="s">
        <v>4</v>
      </c>
      <c r="B33" s="54">
        <f>+Tabla!$D$23</f>
        <v>0</v>
      </c>
      <c r="C33" s="18"/>
    </row>
    <row r="34" spans="1:8" x14ac:dyDescent="0.2">
      <c r="A34" s="36" t="s">
        <v>21</v>
      </c>
      <c r="B34" s="38" t="str">
        <f>+Tabla!D17</f>
        <v/>
      </c>
      <c r="C34" s="18"/>
    </row>
    <row r="35" spans="1:8" x14ac:dyDescent="0.2">
      <c r="A35" s="16" t="s">
        <v>9</v>
      </c>
      <c r="B35" s="39" t="str">
        <f>+Tabla!D15</f>
        <v/>
      </c>
      <c r="C35" s="18"/>
    </row>
    <row r="36" spans="1:8" x14ac:dyDescent="0.2">
      <c r="A36" s="16" t="s">
        <v>6</v>
      </c>
      <c r="B36" s="78">
        <f>+SUM($E$8:$E$24)*$C$2</f>
        <v>0</v>
      </c>
      <c r="C36" s="18"/>
    </row>
    <row r="37" spans="1:8" x14ac:dyDescent="0.2">
      <c r="A37" s="16" t="s">
        <v>8</v>
      </c>
      <c r="B37" s="38">
        <f>+SUM($F$8:$F$24)</f>
        <v>0</v>
      </c>
      <c r="C37" s="18"/>
    </row>
    <row r="38" spans="1:8" x14ac:dyDescent="0.2">
      <c r="A38" s="18" t="s">
        <v>5</v>
      </c>
      <c r="B38" s="78">
        <f>+IF(Tabla!$D$24="Si",(B30*0.8+B31*0.5)*0.35-B32,(B30*0.8+B31*0.5)*0.2-B32)</f>
        <v>0</v>
      </c>
      <c r="C38" s="79" t="e">
        <f>+PV(B35/12,B34,-B38,0,0)</f>
        <v>#VALUE!</v>
      </c>
    </row>
    <row r="39" spans="1:8" x14ac:dyDescent="0.2">
      <c r="A39" s="55" t="s">
        <v>47</v>
      </c>
      <c r="B39" s="35"/>
      <c r="C39" s="79">
        <f>+Tabla!$D$11</f>
        <v>0</v>
      </c>
      <c r="D39" s="49"/>
    </row>
    <row r="40" spans="1:8" x14ac:dyDescent="0.2">
      <c r="A40" s="55" t="s">
        <v>41</v>
      </c>
      <c r="B40" s="35"/>
      <c r="C40" s="79">
        <f>+Tabla!$D$12</f>
        <v>0</v>
      </c>
      <c r="D40" s="49"/>
    </row>
    <row r="41" spans="1:8" x14ac:dyDescent="0.2">
      <c r="A41" s="16" t="s">
        <v>35</v>
      </c>
      <c r="B41" s="35"/>
      <c r="C41" s="79">
        <f>+C39*0.2</f>
        <v>0</v>
      </c>
      <c r="D41" s="49"/>
      <c r="F41" s="49"/>
      <c r="G41" s="49"/>
      <c r="H41" s="49"/>
    </row>
    <row r="42" spans="1:8" x14ac:dyDescent="0.2">
      <c r="A42" s="16" t="s">
        <v>30</v>
      </c>
      <c r="B42" s="78" t="str">
        <f>+IF(ISERROR(-PMT(B35/12,B34,C42,0,0)),"",-PMT(B35/12,B34,C42,0,0))</f>
        <v/>
      </c>
      <c r="C42" s="79">
        <f>+C39-C40</f>
        <v>0</v>
      </c>
      <c r="D42" s="49"/>
      <c r="E42" s="49"/>
      <c r="G42" s="49"/>
      <c r="H42" s="49"/>
    </row>
    <row r="43" spans="1:8" x14ac:dyDescent="0.2">
      <c r="A43" s="18" t="s">
        <v>26</v>
      </c>
      <c r="B43" s="78" t="e">
        <f>+PMT(B35/12,B34,-C43,0,0)</f>
        <v>#VALUE!</v>
      </c>
      <c r="C43" s="79" t="e">
        <f>+MIN(C29,C38,C42)</f>
        <v>#VALUE!</v>
      </c>
    </row>
    <row r="44" spans="1:8" x14ac:dyDescent="0.2">
      <c r="A44" s="18" t="s">
        <v>40</v>
      </c>
      <c r="B44" s="35"/>
      <c r="C44" s="19" t="str">
        <f>+IF(C40&lt;C41,"Inicial menor a la requerida",IF(OR(Tabla!D11="",Tabla!D12="",Tabla!$D$20="",Tabla!$D$22="",Tabla!$D$23="",Tabla!$D$24=""),"",IF(OR(C38&lt;=0,C29&lt;=0),"Capacidad de pago insuficiente",IF(C43&lt;20000,"Capacidad de pago insuficiente",IF(C43&lt;20000,"Mínimo monto",IF(C43&lt;C38,"Califica para el crédito",IF(C42&gt;C43,"Máximo monto","")))))))</f>
        <v/>
      </c>
    </row>
    <row r="46" spans="1:8" x14ac:dyDescent="0.2">
      <c r="A46" s="41" t="s">
        <v>59</v>
      </c>
      <c r="B46" s="41" t="s">
        <v>10</v>
      </c>
      <c r="C46" s="41" t="s">
        <v>12</v>
      </c>
    </row>
    <row r="47" spans="1:8" x14ac:dyDescent="0.2">
      <c r="A47" s="18" t="s">
        <v>11</v>
      </c>
      <c r="B47" s="78">
        <f>+(B48*80%)+(50%*B49)-B50-(1+B51)*B54*B55</f>
        <v>0</v>
      </c>
      <c r="C47" s="19" t="e">
        <f>+PV($B$35/12,$B$34,-$B$29,0,0)</f>
        <v>#VALUE!</v>
      </c>
    </row>
    <row r="48" spans="1:8" x14ac:dyDescent="0.2">
      <c r="A48" s="36" t="s">
        <v>24</v>
      </c>
      <c r="B48" s="78">
        <f>+Tabla!$D$20</f>
        <v>0</v>
      </c>
      <c r="C48" s="18"/>
    </row>
    <row r="49" spans="1:4" x14ac:dyDescent="0.2">
      <c r="A49" s="36" t="s">
        <v>23</v>
      </c>
      <c r="B49" s="78">
        <f>+Tabla!$D$21</f>
        <v>0</v>
      </c>
      <c r="C49" s="18"/>
    </row>
    <row r="50" spans="1:4" x14ac:dyDescent="0.2">
      <c r="A50" s="37" t="s">
        <v>3</v>
      </c>
      <c r="B50" s="78">
        <f>+Tabla!$D$22</f>
        <v>0</v>
      </c>
      <c r="C50" s="18"/>
    </row>
    <row r="51" spans="1:4" x14ac:dyDescent="0.2">
      <c r="A51" s="36" t="s">
        <v>4</v>
      </c>
      <c r="B51" s="54">
        <f>+Tabla!$D$23</f>
        <v>0</v>
      </c>
      <c r="C51" s="18"/>
    </row>
    <row r="52" spans="1:4" x14ac:dyDescent="0.2">
      <c r="A52" s="36" t="s">
        <v>21</v>
      </c>
      <c r="B52" s="38" t="str">
        <f>+Tabla!D17</f>
        <v/>
      </c>
      <c r="C52" s="18"/>
    </row>
    <row r="53" spans="1:4" x14ac:dyDescent="0.2">
      <c r="A53" s="16" t="s">
        <v>9</v>
      </c>
      <c r="B53" s="39" t="str">
        <f>+Tabla!D15</f>
        <v/>
      </c>
      <c r="C53" s="18"/>
    </row>
    <row r="54" spans="1:4" x14ac:dyDescent="0.2">
      <c r="A54" s="16" t="s">
        <v>6</v>
      </c>
      <c r="B54" s="78">
        <f>+SUM($E$8:$E$24)*$C$2</f>
        <v>0</v>
      </c>
      <c r="C54" s="18"/>
    </row>
    <row r="55" spans="1:4" x14ac:dyDescent="0.2">
      <c r="A55" s="16" t="s">
        <v>8</v>
      </c>
      <c r="B55" s="38">
        <f>+SUM($F$8:$F$24)</f>
        <v>0</v>
      </c>
      <c r="C55" s="18"/>
    </row>
    <row r="56" spans="1:4" x14ac:dyDescent="0.2">
      <c r="A56" s="18" t="s">
        <v>5</v>
      </c>
      <c r="B56" s="78">
        <f>+IF(Tabla!$D$24="Si",(B48*0.8+B49*0.5)*0.35-B50,(B48*0.8+B49*0.5)*0.2-B50)</f>
        <v>0</v>
      </c>
      <c r="C56" s="79" t="e">
        <f>+PV(B53/12,B52,-B56,0,0)</f>
        <v>#VALUE!</v>
      </c>
    </row>
    <row r="57" spans="1:4" x14ac:dyDescent="0.2">
      <c r="A57" s="55" t="s">
        <v>47</v>
      </c>
      <c r="B57" s="35"/>
      <c r="C57" s="79">
        <f>+Tabla!$D$11</f>
        <v>0</v>
      </c>
    </row>
    <row r="58" spans="1:4" x14ac:dyDescent="0.2">
      <c r="A58" s="55" t="s">
        <v>41</v>
      </c>
      <c r="B58" s="35"/>
      <c r="C58" s="79">
        <f>+Tabla!$D$12</f>
        <v>0</v>
      </c>
    </row>
    <row r="59" spans="1:4" x14ac:dyDescent="0.2">
      <c r="A59" s="16" t="s">
        <v>35</v>
      </c>
      <c r="B59" s="35"/>
      <c r="C59" s="79">
        <f>+C57*0.2</f>
        <v>0</v>
      </c>
      <c r="D59" s="88"/>
    </row>
    <row r="60" spans="1:4" x14ac:dyDescent="0.2">
      <c r="A60" s="16" t="s">
        <v>30</v>
      </c>
      <c r="B60" s="78" t="str">
        <f>+IF(ISERROR(-PMT(B53/12,B52,C60,0,0)),"",-PMT(B53/12,B52,C60,0,0))</f>
        <v/>
      </c>
      <c r="C60" s="79">
        <f>+C57-C58</f>
        <v>0</v>
      </c>
    </row>
    <row r="61" spans="1:4" x14ac:dyDescent="0.2">
      <c r="A61" s="18" t="s">
        <v>26</v>
      </c>
      <c r="B61" s="78" t="e">
        <f>+PMT(B53/12,B52,-C61,0,0)</f>
        <v>#VALUE!</v>
      </c>
      <c r="C61" s="79" t="e">
        <f>+MIN(C47,C56,C60)</f>
        <v>#VALUE!</v>
      </c>
    </row>
    <row r="62" spans="1:4" x14ac:dyDescent="0.2">
      <c r="A62" s="18" t="s">
        <v>40</v>
      </c>
      <c r="B62" s="35"/>
      <c r="C62" s="19" t="str">
        <f>+IF(C58&lt;C59,"Inicial menor a la requerida",IF(OR(Tabla!D11="",Tabla!D12="",Tabla!$D$20="",Tabla!$D$22="",Tabla!$D$23="",Tabla!$D$24=""),"",IF(OR(C56&lt;=0,C47&lt;=0),"Capacidad de pago insuficiente",IF(C61&lt;20000,"Capacidad de pago insuficiente",IF(C61&lt;20000,"Mínimo monto",IF(C61&lt;C56,"Califica para el crédito",IF(C60&gt;C61,"Máximo monto","")))))))</f>
        <v/>
      </c>
    </row>
    <row r="66" spans="1:1" x14ac:dyDescent="0.2">
      <c r="A66" s="76" t="s">
        <v>61</v>
      </c>
    </row>
    <row r="67" spans="1:1" x14ac:dyDescent="0.2">
      <c r="A67">
        <v>12</v>
      </c>
    </row>
    <row r="68" spans="1:1" x14ac:dyDescent="0.2">
      <c r="A68">
        <v>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Tabla</vt:lpstr>
      <vt:lpstr>Factor</vt:lpstr>
      <vt:lpstr>Tabla!Área_de_impresión</vt:lpstr>
      <vt:lpstr>Rango_de_plazo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Cervini, Gabriel A.</cp:lastModifiedBy>
  <cp:lastPrinted>2018-01-15T13:14:58Z</cp:lastPrinted>
  <dcterms:created xsi:type="dcterms:W3CDTF">2014-04-30T19:09:07Z</dcterms:created>
  <dcterms:modified xsi:type="dcterms:W3CDTF">2018-10-30T20:09:23Z</dcterms:modified>
</cp:coreProperties>
</file>