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iesgo_de_Crédito\09.Simuladores_(Ocasional)\02. Intranet-Web\55. Nuevos lineamientos\"/>
    </mc:Choice>
  </mc:AlternateContent>
  <workbookProtection workbookPassword="CB1F" lockStructure="1"/>
  <bookViews>
    <workbookView showSheetTabs="0" xWindow="0" yWindow="0" windowWidth="15480" windowHeight="10995" tabRatio="745"/>
  </bookViews>
  <sheets>
    <sheet name="Tabla" sheetId="2" r:id="rId1"/>
    <sheet name="Factor" sheetId="5" state="hidden" r:id="rId2"/>
  </sheets>
  <definedNames>
    <definedName name="_xlnm.Print_Area" localSheetId="0">Tabla!$A$1:$G$35</definedName>
    <definedName name="Rango_de_plazo">Factor!$A$67:$A$68</definedName>
  </definedNames>
  <calcPr calcId="152511"/>
</workbook>
</file>

<file path=xl/calcChain.xml><?xml version="1.0" encoding="utf-8"?>
<calcChain xmlns="http://schemas.openxmlformats.org/spreadsheetml/2006/main">
  <c r="O25" i="2" l="1"/>
  <c r="O26" i="2"/>
  <c r="O27" i="2"/>
  <c r="K10" i="2"/>
  <c r="C58" i="5"/>
  <c r="C57" i="5"/>
  <c r="C59" i="5" s="1"/>
  <c r="B51" i="5"/>
  <c r="B50" i="5"/>
  <c r="B49" i="5"/>
  <c r="B48" i="5"/>
  <c r="C40" i="5"/>
  <c r="C39" i="5"/>
  <c r="C41" i="5" s="1"/>
  <c r="B33" i="5"/>
  <c r="B32" i="5"/>
  <c r="B31" i="5"/>
  <c r="B30" i="5"/>
  <c r="B1" i="5"/>
  <c r="B2" i="5" s="1"/>
  <c r="B3" i="5" s="1"/>
  <c r="B4" i="5" s="1"/>
  <c r="D33" i="2"/>
  <c r="D25" i="2"/>
  <c r="D26" i="2"/>
  <c r="D27" i="2"/>
  <c r="E14" i="5" l="1"/>
  <c r="B56" i="5"/>
  <c r="E15" i="5"/>
  <c r="F17" i="5"/>
  <c r="E22" i="5"/>
  <c r="F22" i="5"/>
  <c r="F11" i="5"/>
  <c r="F20" i="5"/>
  <c r="F23" i="5"/>
  <c r="E23" i="5"/>
  <c r="E10" i="5"/>
  <c r="F15" i="5"/>
  <c r="F12" i="5"/>
  <c r="E13" i="5"/>
  <c r="E20" i="5"/>
  <c r="E8" i="5"/>
  <c r="F14" i="5"/>
  <c r="E19" i="5"/>
  <c r="F16" i="5"/>
  <c r="F24" i="5"/>
  <c r="E16" i="5"/>
  <c r="B38" i="5"/>
  <c r="E24" i="5"/>
  <c r="E17" i="5"/>
  <c r="F18" i="5"/>
  <c r="F9" i="5"/>
  <c r="F13" i="5"/>
  <c r="F8" i="5"/>
  <c r="E21" i="5"/>
  <c r="E9" i="5"/>
  <c r="F10" i="5"/>
  <c r="E18" i="5"/>
  <c r="F19" i="5"/>
  <c r="F21" i="5"/>
  <c r="E12" i="5"/>
  <c r="E11" i="5"/>
  <c r="C42" i="5"/>
  <c r="C60" i="5"/>
  <c r="D14" i="2" s="1"/>
  <c r="D17" i="2" s="1"/>
  <c r="D13" i="2"/>
  <c r="B34" i="5" l="1"/>
  <c r="B36" i="5"/>
  <c r="B55" i="5"/>
  <c r="B37" i="5"/>
  <c r="B54" i="5"/>
  <c r="D15" i="2"/>
  <c r="B53" i="5" s="1"/>
  <c r="B47" i="5" l="1"/>
  <c r="B52" i="5"/>
  <c r="C56" i="5" s="1"/>
  <c r="B29" i="5"/>
  <c r="B35" i="5"/>
  <c r="B42" i="5" s="1"/>
  <c r="B60" i="5" l="1"/>
  <c r="C29" i="5"/>
  <c r="C38" i="5"/>
  <c r="C47" i="5"/>
  <c r="C61" i="5" s="1"/>
  <c r="B61" i="5" s="1"/>
  <c r="C62" i="5" l="1"/>
  <c r="C43" i="5"/>
  <c r="B43" i="5" s="1"/>
  <c r="C44" i="5" l="1"/>
  <c r="B29" i="2" s="1"/>
  <c r="D31" i="2" l="1"/>
  <c r="B31" i="2"/>
  <c r="D29" i="2"/>
</calcChain>
</file>

<file path=xl/comments1.xml><?xml version="1.0" encoding="utf-8"?>
<comments xmlns="http://schemas.openxmlformats.org/spreadsheetml/2006/main">
  <authors>
    <author>bc25109</author>
  </authors>
  <commentList>
    <comment ref="D11" authorId="0" shapeId="0">
      <text>
        <r>
          <rPr>
            <b/>
            <sz val="9"/>
            <color indexed="81"/>
            <rFont val="Arial"/>
            <family val="2"/>
          </rPr>
          <t xml:space="preserve">Valor del presupuesto: </t>
        </r>
        <r>
          <rPr>
            <sz val="9"/>
            <color indexed="81"/>
            <rFont val="Arial"/>
            <family val="2"/>
          </rPr>
          <t>corresponde al valor indicado en el presupuesto</t>
        </r>
      </text>
    </comment>
    <comment ref="D15" authorId="0" shape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7" authorId="0" shapeId="0">
      <text>
        <r>
          <rPr>
            <sz val="10"/>
            <color indexed="81"/>
            <rFont val="Arial"/>
            <family val="2"/>
          </rPr>
          <t xml:space="preserve">Plazo máximo del crédito
</t>
        </r>
      </text>
    </comment>
    <comment ref="D18" authorId="0" shapeId="0">
      <text>
        <r>
          <rPr>
            <sz val="10"/>
            <color indexed="81"/>
            <rFont val="Arial"/>
            <family val="2"/>
          </rPr>
          <t xml:space="preserve">En este campo se puede colocar un plazo inferior al máximo.
</t>
        </r>
      </text>
    </comment>
    <comment ref="D20" authorId="0" shapeId="0">
      <text>
        <r>
          <rPr>
            <b/>
            <sz val="9"/>
            <color indexed="81"/>
            <rFont val="Arial"/>
            <family val="2"/>
          </rPr>
          <t xml:space="preserve">Ingreso mensual: </t>
        </r>
        <r>
          <rPr>
            <sz val="9"/>
            <color indexed="81"/>
            <rFont val="Arial"/>
            <family val="2"/>
          </rPr>
          <t>se considera ingreso mensual todos los sueldos, salarios, pensiones, honorarios  profesionales e ingresos que se deriven de la ocupación principal de la persona, que sean percibidos en forma recurrente y con periodicidad mensual.</t>
        </r>
      </text>
    </comment>
    <comment ref="D21" authorId="0" shape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
</t>
        </r>
      </text>
    </comment>
    <comment ref="D22" authorId="0" shapeId="0">
      <text>
        <r>
          <rPr>
            <b/>
            <sz val="9"/>
            <color indexed="81"/>
            <rFont val="Arial"/>
            <family val="2"/>
          </rPr>
          <t xml:space="preserve">Gastos financieros: </t>
        </r>
        <r>
          <rPr>
            <sz val="9"/>
            <color indexed="81"/>
            <rFont val="Arial"/>
            <family val="2"/>
          </rPr>
          <t>se considera gasto fianciero el valor de las cuotas que mensualmente son canceladas por el cliente por concepto de deudas financieras contraídas.</t>
        </r>
      </text>
    </comment>
    <comment ref="D23" authorId="0" shapeId="0">
      <text>
        <r>
          <rPr>
            <b/>
            <sz val="9"/>
            <color indexed="81"/>
            <rFont val="Arial"/>
            <family val="2"/>
          </rPr>
          <t>Cargas familiares:</t>
        </r>
        <r>
          <rPr>
            <sz val="9"/>
            <color indexed="81"/>
            <rFont val="Arial"/>
            <family val="2"/>
          </rPr>
          <t xml:space="preserve"> son todas las personas que dependen económicamente del cliente y que son declaradas en la solicitud de crédito.</t>
        </r>
      </text>
    </comment>
    <comment ref="D24" authorId="0" shapeId="0">
      <text>
        <r>
          <rPr>
            <b/>
            <sz val="10"/>
            <color indexed="81"/>
            <rFont val="Arial"/>
            <family val="2"/>
          </rPr>
          <t>Experiencia crediticia bancaria previa:</t>
        </r>
        <r>
          <rPr>
            <sz val="10"/>
            <color indexed="81"/>
            <rFont val="Arial"/>
            <family val="2"/>
          </rPr>
          <t xml:space="preserve"> considera si el cliente tiene o ha tenia créditos en Bancaribe o en cualquier otra entidad financiera. 
</t>
        </r>
      </text>
    </comment>
    <comment ref="D29" authorId="0" shapeId="0">
      <text>
        <r>
          <rPr>
            <sz val="9"/>
            <color indexed="81"/>
            <rFont val="Arial"/>
            <family val="2"/>
          </rPr>
          <t xml:space="preserve">En este campo se refleja el monto del crédito (en Bolívares) al que podría optar el cliente.
</t>
        </r>
      </text>
    </comment>
    <comment ref="D31" authorId="0" shapeId="0">
      <text>
        <r>
          <rPr>
            <sz val="9"/>
            <color indexed="81"/>
            <rFont val="Arial"/>
            <family val="2"/>
          </rPr>
          <t>En este campo se refleja la cuota correspondiente al monto del crédito (en Bolívares) al que podría optar el cliente.</t>
        </r>
        <r>
          <rPr>
            <sz val="10"/>
            <color indexed="81"/>
            <rFont val="Tahoma"/>
            <family val="2"/>
          </rPr>
          <t xml:space="preserve">
</t>
        </r>
      </text>
    </comment>
  </commentList>
</comments>
</file>

<file path=xl/sharedStrings.xml><?xml version="1.0" encoding="utf-8"?>
<sst xmlns="http://schemas.openxmlformats.org/spreadsheetml/2006/main" count="96" uniqueCount="66">
  <si>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</si>
  <si>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</si>
  <si>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</si>
  <si>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</si>
  <si>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</si>
  <si>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</si>
  <si>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</si>
  <si>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</si>
  <si>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</si>
  <si>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</si>
  <si>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</si>
  <si>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</si>
  <si>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</si>
  <si>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</si>
  <si>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</si>
  <si>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</si>
  <si>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</si>
  <si>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</si>
  <si>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MONTO DE LA CUOTA ESTIMADA DEL CRÉDITO</t>
  </si>
  <si>
    <t>*Campo Requerido</t>
  </si>
  <si>
    <t>MONTO ESTIMADO DEL CRÉDITO</t>
  </si>
  <si>
    <t>Plazo del crédito (N° de cuotas):</t>
  </si>
  <si>
    <t>Tasa promocional de Interés:</t>
  </si>
  <si>
    <t>Otros ingresos</t>
  </si>
  <si>
    <t>Ingreso mensual declarado y demostrado</t>
  </si>
  <si>
    <t>Experiencia crediticia bancaria previa:</t>
  </si>
  <si>
    <t>Monto máximo del crédito a otorgar</t>
  </si>
  <si>
    <t>Si</t>
  </si>
  <si>
    <t>No</t>
  </si>
  <si>
    <t>Tabla de Ajuste para los Ingresos</t>
  </si>
  <si>
    <t>Monto del crédito</t>
  </si>
  <si>
    <t>Monto del crédito:</t>
  </si>
  <si>
    <t>Producto</t>
  </si>
  <si>
    <t>Modalidad</t>
  </si>
  <si>
    <t>Monto de la Incial:</t>
  </si>
  <si>
    <t>Inicial mínima requerida</t>
  </si>
  <si>
    <t>(ESTOS RESULTADOS NO COMPROMETEN AL BANCO AL MOMENTO DE LA APROBACIÓN)</t>
  </si>
  <si>
    <t>Inicial mínima requerida:</t>
  </si>
  <si>
    <t>Ingreso Mínimo LPB Cliente</t>
  </si>
  <si>
    <t>Ingreso Mínimo LPB No Cliente</t>
  </si>
  <si>
    <t>Consecuencia</t>
  </si>
  <si>
    <t>Monto de la Incial</t>
  </si>
  <si>
    <t>Tasa</t>
  </si>
  <si>
    <t>Plazo</t>
  </si>
  <si>
    <t>SIMULACIÓN PARA "LÍNEA AUTO"</t>
  </si>
  <si>
    <t>Seleccione Modalidad de Línea Auto</t>
  </si>
  <si>
    <t>Línea Auto</t>
  </si>
  <si>
    <t>Factura proforma</t>
  </si>
  <si>
    <t>Factura proforma:</t>
  </si>
  <si>
    <t>"El resultado obtenido es referencial y de carácter informativo; en consecuencia, no podrá interpretarse como aprobación de crédito"</t>
  </si>
  <si>
    <t>Plazo máximo del crédito (N° de cuotas):</t>
  </si>
  <si>
    <t>Plazo solicitado (N° de cuotas):</t>
  </si>
  <si>
    <t>Ingreso mensual:</t>
  </si>
  <si>
    <t>Gastos financieros:</t>
  </si>
  <si>
    <t>Cuota mensual del monto solicitado</t>
  </si>
  <si>
    <t>Ingreso mínimo</t>
  </si>
  <si>
    <t>Ingreso máx</t>
  </si>
  <si>
    <t>Otros ingresos adicionales mensuales:</t>
  </si>
  <si>
    <t>Campo Opcional</t>
  </si>
  <si>
    <t>LAB Alianza</t>
  </si>
  <si>
    <t>*Seleccione el plazo</t>
  </si>
  <si>
    <t>Rango de plazo</t>
  </si>
  <si>
    <t>Salario mínimo (Sm) + Cesta Ticket = Salario Integral</t>
  </si>
  <si>
    <t>Inflación Proyectada al 31/08/18</t>
  </si>
  <si>
    <t>FactAju Anterior</t>
  </si>
  <si>
    <t>Porcentaje de Distrubución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</si>
</sst>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 numFmtId="171" formatCode="&quot;Bs S&quot;\ #,##0.00"/>
  </numFmts>
  <fonts count="40"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4"/>
      <color indexed="62"/>
      <name val="Arial"/>
      <family val="2"/>
    </font>
    <font>
      <b/>
      <sz val="9"/>
      <color indexed="81"/>
      <name val="Arial"/>
      <family val="2"/>
    </font>
    <font>
      <sz val="9"/>
      <color indexed="81"/>
      <name val="Arial"/>
      <family val="2"/>
    </font>
    <font>
      <sz val="10"/>
      <color indexed="81"/>
      <name val="Tahoma"/>
      <family val="2"/>
    </font>
    <font>
      <b/>
      <sz val="10"/>
      <color indexed="81"/>
      <name val="Arial"/>
      <family val="2"/>
    </font>
    <font>
      <sz val="10"/>
      <color indexed="81"/>
      <name val="Arial"/>
      <family val="2"/>
    </font>
    <font>
      <sz val="10"/>
      <color theme="0"/>
      <name val="Arial"/>
      <family val="2"/>
    </font>
    <font>
      <sz val="9"/>
      <color theme="1"/>
      <name val="Arial"/>
      <family val="2"/>
    </font>
    <font>
      <sz val="10"/>
      <color theme="1"/>
      <name val="Arial"/>
      <family val="2"/>
    </font>
    <font>
      <b/>
      <i/>
      <sz val="14"/>
      <color theme="3"/>
      <name val="Arial"/>
      <family val="2"/>
    </font>
    <font>
      <b/>
      <sz val="18"/>
      <color theme="3"/>
      <name val="Arial"/>
      <family val="2"/>
    </font>
    <font>
      <b/>
      <sz val="11"/>
      <color theme="3"/>
      <name val="Arial"/>
      <family val="2"/>
    </font>
    <font>
      <b/>
      <i/>
      <sz val="12"/>
      <color theme="3"/>
      <name val="Arial"/>
      <family val="2"/>
    </font>
    <font>
      <b/>
      <sz val="10"/>
      <color theme="7"/>
      <name val="Arial"/>
      <family val="2"/>
    </font>
    <font>
      <b/>
      <sz val="10"/>
      <color theme="0"/>
      <name val="Arial"/>
      <family val="2"/>
    </font>
    <font>
      <sz val="11"/>
      <color rgb="FFFF0000"/>
      <name val="Arial"/>
      <family val="2"/>
    </font>
    <font>
      <b/>
      <sz val="16"/>
      <color rgb="FF008000"/>
      <name val="Arial"/>
      <family val="2"/>
    </font>
  </fonts>
  <fills count="8">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tint="-0.249977111117893"/>
        <bgColor indexed="64"/>
      </patternFill>
    </fill>
    <fill>
      <patternFill patternType="solid">
        <fgColor theme="7"/>
        <bgColor indexed="64"/>
      </patternFill>
    </fill>
    <fill>
      <patternFill patternType="solid">
        <fgColor theme="3"/>
        <bgColor indexed="64"/>
      </patternFill>
    </fill>
  </fills>
  <borders count="9">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style="thick">
        <color indexed="9"/>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0"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0" fontId="19" fillId="0" borderId="1" xfId="0" applyFont="1" applyBorder="1" applyAlignment="1" applyProtection="1">
      <alignment vertical="center"/>
      <protection hidden="1"/>
    </xf>
    <xf numFmtId="170"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22" fillId="4" borderId="1" xfId="3" applyNumberFormat="1" applyFont="1" applyFill="1" applyBorder="1" applyAlignment="1" applyProtection="1">
      <alignment horizontal="right" vertical="center"/>
      <protection hidden="1"/>
    </xf>
    <xf numFmtId="166" fontId="22"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170"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4" fillId="3" borderId="0" xfId="1" applyNumberFormat="1" applyFont="1" applyFill="1" applyAlignment="1">
      <alignment horizontal="center"/>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9" fillId="0" borderId="0" xfId="0" applyFont="1" applyAlignment="1" applyProtection="1">
      <alignment vertical="center"/>
      <protection hidden="1"/>
    </xf>
    <xf numFmtId="164" fontId="22" fillId="4" borderId="2" xfId="0" applyNumberFormat="1" applyFont="1" applyFill="1" applyBorder="1" applyAlignment="1" applyProtection="1">
      <alignment horizontal="right" vertical="center"/>
      <protection locked="0"/>
    </xf>
    <xf numFmtId="3" fontId="22" fillId="4" borderId="2" xfId="0" applyNumberFormat="1" applyFont="1" applyFill="1" applyBorder="1" applyAlignment="1" applyProtection="1">
      <alignment horizontal="right" vertical="center"/>
      <protection locked="0"/>
    </xf>
    <xf numFmtId="0" fontId="2" fillId="2" borderId="0" xfId="0" applyFont="1" applyFill="1"/>
    <xf numFmtId="170" fontId="0" fillId="0" borderId="0" xfId="0" applyNumberFormat="1"/>
    <xf numFmtId="170" fontId="14" fillId="0" borderId="0" xfId="1" applyNumberFormat="1" applyFont="1"/>
    <xf numFmtId="0" fontId="23" fillId="0" borderId="0" xfId="0" applyFont="1" applyBorder="1" applyAlignment="1" applyProtection="1">
      <alignment horizontal="right"/>
      <protection hidden="1"/>
    </xf>
    <xf numFmtId="0" fontId="30" fillId="0" borderId="0" xfId="0" applyFont="1" applyAlignment="1" applyProtection="1">
      <alignment vertical="center"/>
      <protection hidden="1"/>
    </xf>
    <xf numFmtId="168" fontId="31" fillId="0" borderId="0" xfId="0" applyNumberFormat="1" applyFont="1" applyAlignment="1" applyProtection="1">
      <alignment vertical="center"/>
      <protection hidden="1"/>
    </xf>
    <xf numFmtId="3" fontId="14" fillId="2" borderId="0" xfId="1" applyNumberFormat="1" applyFont="1" applyFill="1" applyAlignment="1"/>
    <xf numFmtId="0" fontId="14" fillId="0" borderId="0" xfId="0" applyNumberFormat="1" applyFont="1"/>
    <xf numFmtId="170" fontId="21" fillId="0" borderId="0" xfId="0" applyNumberFormat="1" applyFont="1" applyAlignment="1" applyProtection="1">
      <alignment vertical="center"/>
      <protection hidden="1"/>
    </xf>
    <xf numFmtId="10" fontId="22" fillId="4" borderId="1" xfId="3" applyNumberFormat="1" applyFont="1" applyFill="1" applyBorder="1" applyAlignment="1" applyProtection="1">
      <alignment vertical="center"/>
      <protection locked="0"/>
    </xf>
    <xf numFmtId="0" fontId="22" fillId="4" borderId="1" xfId="3" applyNumberFormat="1" applyFont="1" applyFill="1" applyBorder="1" applyAlignment="1" applyProtection="1">
      <alignment horizontal="right" vertical="center"/>
      <protection locked="0"/>
    </xf>
    <xf numFmtId="10" fontId="22" fillId="4" borderId="1" xfId="3" applyNumberFormat="1" applyFont="1" applyFill="1" applyBorder="1" applyAlignment="1" applyProtection="1">
      <alignment horizontal="right" vertical="center"/>
      <protection hidden="1"/>
    </xf>
    <xf numFmtId="10" fontId="21" fillId="0" borderId="0" xfId="0" applyNumberFormat="1" applyFont="1" applyAlignment="1" applyProtection="1">
      <alignment vertical="center"/>
      <protection hidden="1"/>
    </xf>
    <xf numFmtId="0" fontId="21" fillId="0" borderId="0" xfId="0" applyNumberFormat="1" applyFont="1" applyAlignment="1" applyProtection="1">
      <alignment vertical="center"/>
      <protection hidden="1"/>
    </xf>
    <xf numFmtId="0" fontId="32" fillId="0" borderId="1" xfId="0" applyFont="1" applyBorder="1" applyAlignment="1" applyProtection="1">
      <alignment horizontal="right" vertical="center"/>
      <protection hidden="1"/>
    </xf>
    <xf numFmtId="0" fontId="32" fillId="0" borderId="1" xfId="0" applyFont="1" applyBorder="1" applyAlignment="1" applyProtection="1">
      <alignment horizontal="right" vertical="center" wrapText="1"/>
      <protection hidden="1"/>
    </xf>
    <xf numFmtId="0" fontId="32" fillId="0" borderId="2" xfId="0" applyFont="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169" fontId="35" fillId="0" borderId="0" xfId="0" applyNumberFormat="1" applyFont="1" applyBorder="1" applyAlignment="1" applyProtection="1">
      <alignment vertical="center"/>
      <protection hidden="1"/>
    </xf>
    <xf numFmtId="170" fontId="22" fillId="4" borderId="2" xfId="0" applyNumberFormat="1" applyFont="1" applyFill="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locked="0" hidden="1"/>
    </xf>
    <xf numFmtId="0" fontId="1" fillId="0" borderId="0" xfId="2" applyFont="1" applyProtection="1">
      <protection hidden="1"/>
    </xf>
    <xf numFmtId="4" fontId="36" fillId="0" borderId="0" xfId="2" applyNumberFormat="1" applyFont="1" applyProtection="1">
      <protection hidden="1"/>
    </xf>
    <xf numFmtId="14" fontId="37" fillId="6" borderId="0" xfId="2" applyNumberFormat="1" applyFont="1" applyFill="1" applyProtection="1">
      <protection hidden="1"/>
    </xf>
    <xf numFmtId="4" fontId="37" fillId="6" borderId="0" xfId="2" applyNumberFormat="1" applyFont="1" applyFill="1" applyProtection="1">
      <protection hidden="1"/>
    </xf>
    <xf numFmtId="0" fontId="1" fillId="0" borderId="0" xfId="0" applyFont="1"/>
    <xf numFmtId="0" fontId="38" fillId="0" borderId="0" xfId="0" applyFont="1" applyAlignment="1" applyProtection="1">
      <alignment vertical="center" wrapText="1"/>
      <protection hidden="1"/>
    </xf>
    <xf numFmtId="171" fontId="14" fillId="2" borderId="0" xfId="1" applyNumberFormat="1" applyFont="1" applyFill="1" applyAlignment="1"/>
    <xf numFmtId="171" fontId="4" fillId="3" borderId="0" xfId="1" applyNumberFormat="1" applyFont="1" applyFill="1"/>
    <xf numFmtId="171" fontId="39" fillId="4" borderId="1" xfId="0" applyNumberFormat="1" applyFont="1" applyFill="1" applyBorder="1" applyAlignment="1" applyProtection="1">
      <alignment horizontal="center" vertical="center" wrapText="1"/>
      <protection hidden="1"/>
    </xf>
    <xf numFmtId="171" fontId="22" fillId="4" borderId="1" xfId="1" applyNumberFormat="1" applyFont="1" applyFill="1" applyBorder="1" applyAlignment="1" applyProtection="1">
      <alignment horizontal="right" vertical="center"/>
      <protection locked="0"/>
    </xf>
    <xf numFmtId="171" fontId="22" fillId="4" borderId="1" xfId="3" applyNumberFormat="1" applyFont="1" applyFill="1" applyBorder="1" applyAlignment="1" applyProtection="1">
      <alignment vertical="center"/>
      <protection locked="0"/>
    </xf>
    <xf numFmtId="171" fontId="22" fillId="4" borderId="1" xfId="3" applyNumberFormat="1" applyFont="1" applyFill="1" applyBorder="1" applyAlignment="1" applyProtection="1">
      <alignment vertical="center"/>
      <protection hidden="1"/>
    </xf>
    <xf numFmtId="171" fontId="22" fillId="4" borderId="1" xfId="3" applyNumberFormat="1" applyFont="1" applyFill="1" applyBorder="1" applyAlignment="1" applyProtection="1">
      <alignment horizontal="right" vertical="center" wrapText="1"/>
      <protection hidden="1"/>
    </xf>
    <xf numFmtId="171" fontId="22" fillId="4" borderId="2" xfId="1" applyNumberFormat="1" applyFont="1" applyFill="1" applyBorder="1" applyAlignment="1" applyProtection="1">
      <alignment horizontal="right" vertical="center"/>
      <protection locked="0"/>
    </xf>
    <xf numFmtId="9" fontId="4" fillId="3" borderId="0" xfId="3" applyFont="1" applyFill="1"/>
    <xf numFmtId="9" fontId="14" fillId="0" borderId="0" xfId="3" applyFont="1"/>
    <xf numFmtId="165" fontId="0" fillId="0" borderId="0" xfId="1" applyFont="1"/>
    <xf numFmtId="0" fontId="13"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39" fillId="4" borderId="1" xfId="0" applyFont="1" applyFill="1" applyBorder="1" applyAlignment="1" applyProtection="1">
      <alignment horizontal="center" vertical="center" wrapText="1"/>
      <protection hidden="1"/>
    </xf>
    <xf numFmtId="0" fontId="20" fillId="7" borderId="1" xfId="0" applyFont="1" applyFill="1" applyBorder="1" applyAlignment="1" applyProtection="1">
      <alignment horizontal="right" vertical="center"/>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5" xfId="0" applyFont="1" applyFill="1" applyBorder="1" applyAlignment="1" applyProtection="1">
      <alignment horizontal="right" vertical="center" wrapText="1"/>
      <protection hidden="1"/>
    </xf>
    <xf numFmtId="0" fontId="32" fillId="0" borderId="6" xfId="0" applyFont="1" applyFill="1" applyBorder="1" applyAlignment="1" applyProtection="1">
      <alignment horizontal="right" vertical="center" wrapText="1"/>
      <protection hidden="1"/>
    </xf>
    <xf numFmtId="0" fontId="32" fillId="0" borderId="7" xfId="0" applyFont="1" applyFill="1" applyBorder="1" applyAlignment="1" applyProtection="1">
      <alignment horizontal="right" vertical="center" wrapText="1"/>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15" fillId="5" borderId="0" xfId="0" applyFont="1" applyFill="1" applyBorder="1" applyAlignment="1" applyProtection="1">
      <alignment horizontal="center" vertical="center"/>
      <protection hidden="1"/>
    </xf>
    <xf numFmtId="0" fontId="32" fillId="0" borderId="8" xfId="0" applyFont="1" applyFill="1" applyBorder="1" applyAlignment="1" applyProtection="1">
      <alignment horizontal="right" vertical="center" wrapText="1"/>
      <protection hidden="1"/>
    </xf>
  </cellXfs>
  <cellStyles count="4">
    <cellStyle name="Millares" xfId="1" builtinId="3"/>
    <cellStyle name="Normal" xfId="0" builtinId="0"/>
    <cellStyle name="Normal 2" xfId="2"/>
    <cellStyle name="Porcentaje" xfId="3" builtinId="5"/>
  </cellStyles>
  <dxfs count="7">
    <dxf>
      <font>
        <b/>
        <i val="0"/>
        <color rgb="FFFF000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171450</xdr:rowOff>
    </xdr:from>
    <xdr:to>
      <xdr:col>1</xdr:col>
      <xdr:colOff>142875</xdr:colOff>
      <xdr:row>3</xdr:row>
      <xdr:rowOff>123825</xdr:rowOff>
    </xdr:to>
    <xdr:pic>
      <xdr:nvPicPr>
        <xdr:cNvPr id="3202"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171450"/>
          <a:ext cx="1924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35"/>
  <sheetViews>
    <sheetView showGridLines="0" showRowColHeaders="0" tabSelected="1" zoomScale="75" zoomScaleNormal="75" workbookViewId="0">
      <selection activeCell="D12" sqref="D12"/>
    </sheetView>
  </sheetViews>
  <sheetFormatPr baseColWidth="10" defaultColWidth="6.85546875" defaultRowHeight="0" customHeight="1" zeroHeight="1" x14ac:dyDescent="0.2"/>
  <cols>
    <col min="1" max="1" width="28.42578125" style="1" customWidth="1"/>
    <col min="2" max="2" width="40.28515625" style="1" customWidth="1"/>
    <col min="3" max="3" width="48.28515625" style="14" customWidth="1"/>
    <col min="4" max="4" width="57.85546875" style="1" customWidth="1"/>
    <col min="5" max="5" width="17" style="1" customWidth="1"/>
    <col min="6" max="6" width="6.85546875" style="1" customWidth="1"/>
    <col min="7" max="7" width="5.85546875" style="1" hidden="1" customWidth="1"/>
    <col min="8" max="10" width="6.85546875" style="1" hidden="1" customWidth="1"/>
    <col min="11" max="11" width="13.7109375" style="1" hidden="1" customWidth="1"/>
    <col min="12" max="13" width="6.85546875" style="1" hidden="1" customWidth="1"/>
    <col min="14" max="14" width="6.85546875" style="1" customWidth="1"/>
    <col min="15" max="16384" width="6.85546875" style="1"/>
  </cols>
  <sheetData>
    <row r="1" spans="1:15" s="2" customFormat="1" ht="16.5" customHeight="1" x14ac:dyDescent="0.2"/>
    <row r="2" spans="1:15" s="2" customFormat="1" ht="17.25" customHeight="1" x14ac:dyDescent="0.2">
      <c r="A2" s="100" t="s">
        <v>44</v>
      </c>
      <c r="B2" s="100"/>
      <c r="C2" s="100"/>
      <c r="D2" s="100"/>
      <c r="E2" s="100"/>
      <c r="F2" s="100"/>
      <c r="G2" s="100"/>
    </row>
    <row r="3" spans="1:15" s="2" customFormat="1" ht="10.5" customHeight="1" x14ac:dyDescent="0.2">
      <c r="A3" s="65"/>
      <c r="B3" s="65"/>
      <c r="C3" s="65"/>
      <c r="D3" s="65"/>
      <c r="E3" s="65"/>
      <c r="F3" s="65"/>
      <c r="G3" s="65"/>
    </row>
    <row r="4" spans="1:15" s="2" customFormat="1" ht="12.75" customHeight="1" x14ac:dyDescent="0.2">
      <c r="A4" s="101" t="s">
        <v>36</v>
      </c>
      <c r="B4" s="101"/>
      <c r="C4" s="101"/>
      <c r="D4" s="101"/>
      <c r="E4" s="101"/>
      <c r="F4" s="101"/>
      <c r="G4" s="101"/>
    </row>
    <row r="5" spans="1:15" s="2" customFormat="1" ht="12.75" customHeight="1" x14ac:dyDescent="0.2">
      <c r="A5" s="66"/>
      <c r="B5" s="66"/>
      <c r="C5" s="66"/>
      <c r="D5" s="66"/>
      <c r="E5" s="66"/>
      <c r="F5" s="66"/>
      <c r="G5" s="66"/>
    </row>
    <row r="6" spans="1:15" s="2" customFormat="1" ht="9" customHeight="1" thickBot="1" x14ac:dyDescent="0.25">
      <c r="A6" s="27"/>
      <c r="B6" s="30"/>
      <c r="C6" s="30"/>
      <c r="D6" s="27"/>
      <c r="E6" s="1"/>
      <c r="F6" s="1"/>
      <c r="G6" s="30"/>
    </row>
    <row r="7" spans="1:15" s="2" customFormat="1" ht="24" customHeight="1" thickTop="1" thickBot="1" x14ac:dyDescent="0.35">
      <c r="A7" s="23"/>
      <c r="B7" s="64" t="s">
        <v>32</v>
      </c>
      <c r="C7" s="70" t="s">
        <v>46</v>
      </c>
      <c r="D7" s="51"/>
      <c r="E7" s="44"/>
      <c r="F7" s="44"/>
      <c r="G7" s="4"/>
    </row>
    <row r="8" spans="1:15" s="2" customFormat="1" ht="24" customHeight="1" thickTop="1" thickBot="1" x14ac:dyDescent="0.25">
      <c r="A8" s="23"/>
      <c r="B8" s="62" t="s">
        <v>33</v>
      </c>
      <c r="C8" s="71"/>
      <c r="D8" s="31" t="s">
        <v>45</v>
      </c>
      <c r="E8" s="44"/>
      <c r="F8" s="44"/>
      <c r="G8" s="4"/>
    </row>
    <row r="9" spans="1:15" s="2" customFormat="1" ht="7.5" customHeight="1" thickTop="1" x14ac:dyDescent="0.3">
      <c r="A9" s="23"/>
      <c r="B9" s="29"/>
      <c r="C9" s="29"/>
      <c r="D9" s="28"/>
      <c r="E9" s="44"/>
      <c r="F9" s="44"/>
      <c r="G9" s="4"/>
      <c r="I9" s="31" t="s">
        <v>42</v>
      </c>
      <c r="J9" s="31" t="s">
        <v>43</v>
      </c>
      <c r="K9" s="31" t="s">
        <v>55</v>
      </c>
      <c r="L9" s="31" t="s">
        <v>56</v>
      </c>
    </row>
    <row r="10" spans="1:15" s="2" customFormat="1" ht="24" customHeight="1" thickBot="1" x14ac:dyDescent="0.25">
      <c r="B10" s="102" t="s">
        <v>14</v>
      </c>
      <c r="C10" s="102"/>
      <c r="D10" s="102"/>
      <c r="E10" s="34"/>
      <c r="F10" s="34"/>
      <c r="H10" s="31" t="s">
        <v>46</v>
      </c>
      <c r="I10" s="60">
        <v>0.24</v>
      </c>
      <c r="J10" s="61">
        <v>6</v>
      </c>
      <c r="K10" s="56">
        <f>+Factor!C1</f>
        <v>1800</v>
      </c>
      <c r="L10" s="69">
        <v>99999999999.990005</v>
      </c>
    </row>
    <row r="11" spans="1:15" s="2" customFormat="1" ht="24" customHeight="1" thickTop="1" thickBot="1" x14ac:dyDescent="0.25">
      <c r="B11" s="24"/>
      <c r="C11" s="62" t="s">
        <v>48</v>
      </c>
      <c r="D11" s="81"/>
      <c r="E11" s="31" t="s">
        <v>19</v>
      </c>
      <c r="F11" s="34"/>
      <c r="H11" s="31" t="s">
        <v>59</v>
      </c>
      <c r="I11" s="60">
        <v>0.24</v>
      </c>
      <c r="J11" s="61">
        <v>6</v>
      </c>
      <c r="K11" s="56">
        <v>64000</v>
      </c>
      <c r="L11" s="69">
        <v>100000000000.99001</v>
      </c>
    </row>
    <row r="12" spans="1:15" s="2" customFormat="1" ht="24" customHeight="1" thickTop="1" thickBot="1" x14ac:dyDescent="0.25">
      <c r="B12" s="24"/>
      <c r="C12" s="62" t="s">
        <v>34</v>
      </c>
      <c r="D12" s="82"/>
      <c r="E12" s="31" t="s">
        <v>19</v>
      </c>
      <c r="F12" s="34"/>
      <c r="H12" s="31"/>
      <c r="I12" s="60"/>
      <c r="J12" s="61"/>
      <c r="K12" s="61"/>
    </row>
    <row r="13" spans="1:15" s="2" customFormat="1" ht="24" customHeight="1" thickTop="1" thickBot="1" x14ac:dyDescent="0.25">
      <c r="B13" s="24"/>
      <c r="C13" s="62" t="s">
        <v>37</v>
      </c>
      <c r="D13" s="83" t="str">
        <f>+IF(D11="","",IF(C8="Línea Auto-CRELIBA",Factor!C41,Factor!C59))</f>
        <v/>
      </c>
      <c r="E13" s="34"/>
      <c r="F13" s="34"/>
      <c r="H13" s="31"/>
      <c r="I13" s="60"/>
      <c r="J13" s="61"/>
      <c r="K13" s="61"/>
      <c r="L13" s="61"/>
    </row>
    <row r="14" spans="1:15" s="2" customFormat="1" ht="39" customHeight="1" thickTop="1" thickBot="1" x14ac:dyDescent="0.25">
      <c r="B14" s="24"/>
      <c r="C14" s="63" t="s">
        <v>31</v>
      </c>
      <c r="D14" s="84" t="str">
        <f>+IF(OR(D11="",D12=""),"",IF(C8="Línea Auto-CRELIBA",Factor!C42,Factor!C60))</f>
        <v/>
      </c>
      <c r="E14" s="34"/>
      <c r="F14" s="34"/>
      <c r="H14" s="31"/>
      <c r="K14" s="61"/>
      <c r="L14" s="61"/>
    </row>
    <row r="15" spans="1:15" s="5" customFormat="1" ht="20.25" thickTop="1" thickBot="1" x14ac:dyDescent="0.25">
      <c r="A15" s="21"/>
      <c r="B15" s="24"/>
      <c r="C15" s="62" t="s">
        <v>13</v>
      </c>
      <c r="D15" s="59" t="str">
        <f>IF(D14="","",IF(OR(D16="",D16=0),VLOOKUP($C$8,$H$10:$J$11,2,0),IF(D16&gt;VLOOKUP($C$8,$H$10:$J$11,2,0),"Verificar el plazo promocional",D16)))</f>
        <v/>
      </c>
      <c r="E15" s="4"/>
      <c r="F15" s="4"/>
      <c r="K15" s="61"/>
      <c r="L15" s="61"/>
      <c r="O15" s="2"/>
    </row>
    <row r="16" spans="1:15" s="5" customFormat="1" ht="20.25" hidden="1" thickTop="1" thickBot="1" x14ac:dyDescent="0.25">
      <c r="A16" s="21"/>
      <c r="B16" s="24"/>
      <c r="C16" s="62" t="s">
        <v>22</v>
      </c>
      <c r="D16" s="57"/>
      <c r="E16" s="4"/>
      <c r="F16" s="4"/>
      <c r="K16" s="61"/>
      <c r="L16" s="61"/>
      <c r="O16" s="2"/>
    </row>
    <row r="17" spans="1:15" s="2" customFormat="1" ht="20.25" thickTop="1" thickBot="1" x14ac:dyDescent="0.25">
      <c r="A17" s="22"/>
      <c r="B17" s="24"/>
      <c r="C17" s="62" t="s">
        <v>50</v>
      </c>
      <c r="D17" s="32" t="str">
        <f>IF(D14="","",IF(OR(D18="",D18=0),VLOOKUP($C$8,$H$10:$J$11,3,0),IF(D18&gt;VLOOKUP($C$8,$H$10:$J$11,3,0),"El plazo máximo del crédito es de 6 cuotas",D18)))</f>
        <v/>
      </c>
      <c r="K17" s="61"/>
      <c r="L17" s="61"/>
    </row>
    <row r="18" spans="1:15" s="2" customFormat="1" ht="20.25" thickTop="1" thickBot="1" x14ac:dyDescent="0.25">
      <c r="A18" s="6"/>
      <c r="B18" s="24"/>
      <c r="C18" s="62" t="s">
        <v>51</v>
      </c>
      <c r="D18" s="58"/>
      <c r="E18" s="31" t="s">
        <v>60</v>
      </c>
      <c r="K18" s="61"/>
      <c r="L18" s="61"/>
    </row>
    <row r="19" spans="1:15" ht="24" customHeight="1" thickTop="1" thickBot="1" x14ac:dyDescent="0.25">
      <c r="A19" s="7"/>
      <c r="B19" s="91" t="s">
        <v>16</v>
      </c>
      <c r="C19" s="91"/>
      <c r="D19" s="91"/>
      <c r="E19" s="7"/>
      <c r="F19" s="7"/>
      <c r="H19" s="7"/>
      <c r="J19" s="31"/>
      <c r="K19" s="61"/>
      <c r="L19" s="61"/>
    </row>
    <row r="20" spans="1:15" s="2" customFormat="1" ht="21.75" customHeight="1" thickTop="1" thickBot="1" x14ac:dyDescent="0.25">
      <c r="B20" s="95" t="s">
        <v>52</v>
      </c>
      <c r="C20" s="95"/>
      <c r="D20" s="81"/>
      <c r="E20" s="31" t="s">
        <v>19</v>
      </c>
      <c r="F20" s="52"/>
      <c r="H20" s="31" t="s">
        <v>27</v>
      </c>
      <c r="J20" s="56"/>
      <c r="K20" s="61"/>
      <c r="L20" s="61"/>
    </row>
    <row r="21" spans="1:15" s="2" customFormat="1" ht="16.5" customHeight="1" thickTop="1" thickBot="1" x14ac:dyDescent="0.25">
      <c r="B21" s="103" t="s">
        <v>57</v>
      </c>
      <c r="C21" s="99"/>
      <c r="D21" s="85"/>
      <c r="E21" s="31" t="s">
        <v>58</v>
      </c>
      <c r="F21" s="52"/>
      <c r="G21" s="31"/>
      <c r="H21" s="31" t="s">
        <v>28</v>
      </c>
      <c r="K21" s="61"/>
      <c r="L21" s="61"/>
    </row>
    <row r="22" spans="1:15" s="2" customFormat="1" ht="20.25" thickTop="1" thickBot="1" x14ac:dyDescent="0.25">
      <c r="A22" s="1"/>
      <c r="B22" s="95" t="s">
        <v>53</v>
      </c>
      <c r="C22" s="95"/>
      <c r="D22" s="85"/>
      <c r="E22" s="31" t="s">
        <v>19</v>
      </c>
      <c r="F22" s="52"/>
      <c r="G22" s="31"/>
      <c r="K22" s="61"/>
      <c r="L22" s="61"/>
    </row>
    <row r="23" spans="1:15" ht="20.25" thickTop="1" thickBot="1" x14ac:dyDescent="0.25">
      <c r="A23" s="8"/>
      <c r="B23" s="96" t="s">
        <v>15</v>
      </c>
      <c r="C23" s="97"/>
      <c r="D23" s="47"/>
      <c r="E23" s="31" t="s">
        <v>19</v>
      </c>
      <c r="F23" s="52"/>
    </row>
    <row r="24" spans="1:15" ht="20.25" thickTop="1" thickBot="1" x14ac:dyDescent="0.25">
      <c r="A24" s="8"/>
      <c r="B24" s="98" t="s">
        <v>25</v>
      </c>
      <c r="C24" s="99"/>
      <c r="D24" s="46"/>
      <c r="E24" s="31" t="s">
        <v>19</v>
      </c>
      <c r="F24" s="52"/>
    </row>
    <row r="25" spans="1:15" ht="20.25" hidden="1" thickTop="1" thickBot="1" x14ac:dyDescent="0.25">
      <c r="A25" s="8"/>
      <c r="B25" s="94" t="s">
        <v>54</v>
      </c>
      <c r="C25" s="94"/>
      <c r="D25" s="68" t="str">
        <f>+IF(OR(D11="",D12="",D20="",D22="",D23="",D24=""),"",IF(C8="Línea Auto-CRELIBA",Factor!B42,IF(C8="Línea Auto-BAVARIAN",Factor!B60,"")))</f>
        <v/>
      </c>
      <c r="E25" s="31"/>
      <c r="F25" s="52"/>
      <c r="O25" s="2">
        <f>+O17+1</f>
        <v>1</v>
      </c>
    </row>
    <row r="26" spans="1:15" ht="20.25" hidden="1" thickTop="1" thickBot="1" x14ac:dyDescent="0.25">
      <c r="A26" s="10"/>
      <c r="B26" s="94" t="s">
        <v>5</v>
      </c>
      <c r="C26" s="94"/>
      <c r="D26" s="33" t="str">
        <f>+IF(OR(D11="",D12="",D20="",D22="",D23="",D24=""),"",IF(C8="Línea Auto-CRELIBA",Factor!B38,IF(C8="Línea Auto-BAVARIAN",Factor!B56,"")))</f>
        <v/>
      </c>
      <c r="E26" s="15"/>
      <c r="F26" s="53"/>
      <c r="O26" s="2">
        <f>+O25+1</f>
        <v>2</v>
      </c>
    </row>
    <row r="27" spans="1:15" s="3" customFormat="1" ht="21.75" hidden="1" thickTop="1" thickBot="1" x14ac:dyDescent="0.25">
      <c r="A27" s="9"/>
      <c r="B27" s="94" t="s">
        <v>2</v>
      </c>
      <c r="C27" s="94"/>
      <c r="D27" s="33" t="str">
        <f>+IF(OR(D11="",D12="",D20="",D22="",D23="",D24=""),"",IF(C8="Línea Auto-CRELIBA",Factor!B29,IF(C8="Línea Auto-BAVARIAN",Factor!B47,"")))</f>
        <v/>
      </c>
      <c r="G27" s="45"/>
      <c r="O27" s="2">
        <f>+O26+1</f>
        <v>3</v>
      </c>
    </row>
    <row r="28" spans="1:15" s="3" customFormat="1" ht="19.5" thickTop="1" thickBot="1" x14ac:dyDescent="0.25">
      <c r="A28" s="2"/>
      <c r="B28" s="92" t="s">
        <v>20</v>
      </c>
      <c r="C28" s="92"/>
      <c r="D28" s="92"/>
      <c r="E28" s="31"/>
      <c r="F28" s="31"/>
      <c r="G28" s="31"/>
      <c r="H28" s="31"/>
      <c r="I28" s="31"/>
      <c r="O28" s="2"/>
    </row>
    <row r="29" spans="1:15" s="2" customFormat="1" ht="39.75" customHeight="1" thickTop="1" thickBot="1" x14ac:dyDescent="0.25">
      <c r="A29" s="10"/>
      <c r="B29" s="93" t="str">
        <f>+IF(D12&gt;=D11,"",IF(D14&lt;15,"El monto del crédito debe ser mayor o igual a Bs.S.15,00",IF(C8="Línea Auto",Factor!C44,IF(C8="LAB Alianza",Factor!C62,""))))</f>
        <v/>
      </c>
      <c r="C29" s="93"/>
      <c r="D29" s="80" t="str">
        <f>+IF(OR(B29="Inicial menor a la requerida",B29="Capacidad de pago insuficiente",B29=""),"",IF(AND(C8="Línea Auto",Factor!C43&gt;=0),Factor!C43,IF(AND(C8="LAB Alianza",Factor!C61&gt;=0),Factor!C61,"")))</f>
        <v/>
      </c>
      <c r="E29" s="77"/>
      <c r="F29" s="31"/>
      <c r="G29" s="31"/>
      <c r="H29" s="31"/>
      <c r="I29" s="31"/>
    </row>
    <row r="30" spans="1:15" s="2" customFormat="1" ht="19.5" thickTop="1" thickBot="1" x14ac:dyDescent="0.25">
      <c r="A30" s="10"/>
      <c r="B30" s="92" t="s">
        <v>18</v>
      </c>
      <c r="C30" s="92"/>
      <c r="D30" s="92"/>
      <c r="E30" s="31"/>
      <c r="F30" s="31"/>
      <c r="G30" s="31"/>
      <c r="H30" s="31"/>
      <c r="I30" s="31"/>
    </row>
    <row r="31" spans="1:15" s="2" customFormat="1" ht="21.75" thickTop="1" thickBot="1" x14ac:dyDescent="0.25">
      <c r="A31" s="10"/>
      <c r="B31" s="93" t="str">
        <f>+IF(OR(B29="Inicial menor a la requerida",B29="Capacidad de pago insuficiente",B29=""),"","Cuota mensual")</f>
        <v/>
      </c>
      <c r="C31" s="93"/>
      <c r="D31" s="80" t="str">
        <f>+IF(OR(B29="Inicial menor a la requerida",B29="Capacidad de pago insuficiente",B29=""),"",IF(C8="Línea Auto",Factor!B43,IF(C8="LAB Alianza",Factor!B61,"")))</f>
        <v/>
      </c>
      <c r="E31" s="31"/>
      <c r="F31" s="31"/>
      <c r="G31" s="31"/>
      <c r="H31" s="31"/>
      <c r="I31" s="31"/>
      <c r="O31" s="1"/>
    </row>
    <row r="32" spans="1:15" s="2" customFormat="1" ht="21.75" thickTop="1" thickBot="1" x14ac:dyDescent="0.25">
      <c r="A32" s="10"/>
      <c r="B32" s="26"/>
      <c r="C32" s="26"/>
      <c r="D32" s="25"/>
      <c r="E32" s="31"/>
      <c r="F32" s="31"/>
      <c r="G32" s="31"/>
      <c r="H32" s="31"/>
      <c r="I32" s="31"/>
    </row>
    <row r="33" spans="1:9" s="2" customFormat="1" ht="24" customHeight="1" thickTop="1" thickBot="1" x14ac:dyDescent="0.25">
      <c r="A33" s="13"/>
      <c r="B33" s="11"/>
      <c r="C33" s="12"/>
      <c r="D33" s="67">
        <f ca="1">TODAY()</f>
        <v>43446</v>
      </c>
      <c r="E33" s="31"/>
      <c r="F33" s="31"/>
      <c r="G33" s="31"/>
      <c r="H33" s="31"/>
      <c r="I33" s="31"/>
    </row>
    <row r="34" spans="1:9" s="2" customFormat="1" ht="19.5" customHeight="1" thickTop="1" thickBot="1" x14ac:dyDescent="0.25">
      <c r="A34" s="13"/>
      <c r="B34" s="89" t="s">
        <v>49</v>
      </c>
      <c r="C34" s="90"/>
      <c r="D34" s="90"/>
      <c r="E34" s="31"/>
      <c r="F34" s="31"/>
      <c r="G34" s="31"/>
      <c r="H34" s="31"/>
      <c r="I34" s="31"/>
    </row>
    <row r="35" spans="1:9" s="2" customFormat="1" ht="23.25" customHeight="1" thickTop="1" x14ac:dyDescent="0.2">
      <c r="A35" s="13"/>
      <c r="B35" s="42"/>
      <c r="C35" s="43"/>
      <c r="D35" s="43"/>
      <c r="E35" s="13"/>
      <c r="F35" s="13"/>
    </row>
  </sheetData>
  <sheetProtection password="CB1F" sheet="1" objects="1" scenarios="1" selectLockedCells="1"/>
  <dataConsolidate/>
  <mergeCells count="17">
    <mergeCell ref="A2:G2"/>
    <mergeCell ref="A4:G4"/>
    <mergeCell ref="B27:C27"/>
    <mergeCell ref="B20:C20"/>
    <mergeCell ref="B10:D10"/>
    <mergeCell ref="B21:C21"/>
    <mergeCell ref="B34:D34"/>
    <mergeCell ref="B19:D19"/>
    <mergeCell ref="B30:D30"/>
    <mergeCell ref="B28:D28"/>
    <mergeCell ref="B31:C31"/>
    <mergeCell ref="B25:C25"/>
    <mergeCell ref="B29:C29"/>
    <mergeCell ref="B26:C26"/>
    <mergeCell ref="B22:C22"/>
    <mergeCell ref="B23:C23"/>
    <mergeCell ref="B24:C24"/>
  </mergeCells>
  <phoneticPr fontId="3" type="noConversion"/>
  <conditionalFormatting sqref="B31:D32 D29">
    <cfRule type="expression" dxfId="6" priority="17" stopIfTrue="1">
      <formula>$B$29="Califica para el monto solicitado"</formula>
    </cfRule>
    <cfRule type="expression" dxfId="5" priority="18" stopIfTrue="1">
      <formula>$B$29="Máximo monto"</formula>
    </cfRule>
  </conditionalFormatting>
  <conditionalFormatting sqref="A27">
    <cfRule type="cellIs" dxfId="4" priority="16" stopIfTrue="1" operator="equal">
      <formula>"""Nivel de ingreso SATISFACTORIO para Crédito solicitado"""</formula>
    </cfRule>
  </conditionalFormatting>
  <conditionalFormatting sqref="B29:C29">
    <cfRule type="expression" dxfId="3" priority="23" stopIfTrue="1">
      <formula>OR($B$29="Inicial menor a la requerida",$B$29="Capacidad de Pago Insuficiente")</formula>
    </cfRule>
    <cfRule type="cellIs" dxfId="2" priority="24" stopIfTrue="1" operator="equal">
      <formula>"Califica para el monto solicitado"</formula>
    </cfRule>
    <cfRule type="cellIs" dxfId="1" priority="25" stopIfTrue="1" operator="equal">
      <formula>"Máximo monto"</formula>
    </cfRule>
  </conditionalFormatting>
  <conditionalFormatting sqref="D13">
    <cfRule type="expression" dxfId="0" priority="1" stopIfTrue="1">
      <formula>$B$29="Inicial menor a la requerida"</formula>
    </cfRule>
  </conditionalFormatting>
  <dataValidations xWindow="652" yWindow="589" count="11">
    <dataValidation type="decimal" allowBlank="1" showErrorMessage="1" errorTitle="Error en Valor Ingresado" error="Ingreso Mínimo Bs.S. 64.000,00" sqref="D20">
      <formula1>IF(C8="Línea Auto-CRELIBA",K10,K11)</formula1>
      <formula2>IF(C8="Línea Auto-CRELIBA",L10,L11)</formula2>
    </dataValidation>
    <dataValidation type="whole" allowBlank="1" showErrorMessage="1" errorTitle="Error en Valor Ingresado" error="Por favor verifique el valor ingresado, el cual debe ser igual o mayor a 0_x000a_" promptTitle="Carga Familiar no incluye al Sol" sqref="D23">
      <formula1>0</formula1>
      <formula2>99</formula2>
    </dataValidation>
    <dataValidation type="decimal" allowBlank="1" showErrorMessage="1" errorTitle="Error en Valor Ingresado" error="Por favor verifique el valor ingresado, el cual debe ser igual o mayor a 0" sqref="D21:D22">
      <formula1>0</formula1>
      <formula2>99999999999.99</formula2>
    </dataValidation>
    <dataValidation type="list" allowBlank="1" showErrorMessage="1" error="_x000a_" promptTitle="Carga Familiar no incluye al Sol" sqref="D24">
      <formula1>$H$20:$H$21</formula1>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11 H14"/>
    <dataValidation type="list" allowBlank="1" showInputMessage="1" showErrorMessage="1" sqref="C8">
      <formula1>$H$10:$H$11</formula1>
    </dataValidation>
    <dataValidation type="decimal" allowBlank="1" showInputMessage="1" showErrorMessage="1" errorTitle="Error en Monto Ingresado" error="Por favor verifique que el valor ingresado corresponda a un monto mayor o igual Bs.S. 100.000,00" promptTitle="Ingreso un Valor en Número" sqref="D11">
      <formula1>100000</formula1>
      <formula2>9999999999.99</formula2>
    </dataValidation>
    <dataValidation allowBlank="1" showErrorMessage="1" error="_x000a_" promptTitle="Carga Familiar no incluye al Sol" sqref="D25"/>
    <dataValidation operator="greaterThan" allowBlank="1" showInputMessage="1" showErrorMessage="1" sqref="D29"/>
    <dataValidation allowBlank="1" showInputMessage="1" showErrorMessage="1" error="El monto del crédito debe ser mayor o igual a Bs.S. 20.000,00" sqref="D14"/>
    <dataValidation type="decimal" allowBlank="1" showInputMessage="1" showErrorMessage="1" error="El monto de la inicial debe ser mayor o igual al monto de la inicial mínima requerida" sqref="D12">
      <formula1>D13</formula1>
      <formula2>D11</formula2>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ignoredErrors>
    <ignoredError sqref="D25" unlockedFormula="1"/>
  </ignoredErrors>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Factor!$A$67</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8"/>
  <sheetViews>
    <sheetView workbookViewId="0">
      <selection activeCell="C3" sqref="C3"/>
    </sheetView>
  </sheetViews>
  <sheetFormatPr baseColWidth="10" defaultRowHeight="12.75" x14ac:dyDescent="0.2"/>
  <cols>
    <col min="1" max="1" width="50.42578125" bestFit="1" customWidth="1"/>
    <col min="2" max="2" width="20.28515625" bestFit="1" customWidth="1"/>
    <col min="3" max="3" width="55.28515625" bestFit="1" customWidth="1"/>
    <col min="4" max="4" width="13" bestFit="1" customWidth="1"/>
    <col min="5" max="5" width="10.140625" bestFit="1" customWidth="1"/>
    <col min="6" max="6" width="7.85546875" bestFit="1" customWidth="1"/>
    <col min="7" max="7" width="16.7109375" bestFit="1" customWidth="1"/>
    <col min="8" max="8" width="15.7109375" bestFit="1" customWidth="1"/>
    <col min="9" max="9" width="8.85546875" customWidth="1"/>
    <col min="10" max="10" width="7.85546875" bestFit="1" customWidth="1"/>
  </cols>
  <sheetData>
    <row r="1" spans="1:8" x14ac:dyDescent="0.2">
      <c r="A1" s="18" t="s">
        <v>62</v>
      </c>
      <c r="B1" s="20">
        <f ca="1">+TODAY()</f>
        <v>43446</v>
      </c>
      <c r="C1" s="19">
        <v>1800</v>
      </c>
      <c r="E1" s="72"/>
      <c r="F1" s="73">
        <v>6746.98</v>
      </c>
    </row>
    <row r="2" spans="1:8" x14ac:dyDescent="0.2">
      <c r="A2" s="18" t="s">
        <v>17</v>
      </c>
      <c r="B2" s="20">
        <f ca="1">+B1</f>
        <v>43446</v>
      </c>
      <c r="C2" s="19">
        <v>17</v>
      </c>
      <c r="E2" s="74">
        <v>42186</v>
      </c>
      <c r="F2" s="75">
        <v>7421.68</v>
      </c>
    </row>
    <row r="3" spans="1:8" x14ac:dyDescent="0.2">
      <c r="A3" s="18" t="s">
        <v>38</v>
      </c>
      <c r="B3" s="20">
        <f ca="1">+B2</f>
        <v>43446</v>
      </c>
      <c r="C3" s="19">
        <v>0.05</v>
      </c>
    </row>
    <row r="4" spans="1:8" x14ac:dyDescent="0.2">
      <c r="A4" s="18" t="s">
        <v>39</v>
      </c>
      <c r="B4" s="20">
        <f ca="1">+B3</f>
        <v>43446</v>
      </c>
      <c r="C4" s="19">
        <v>7.0000000000000007E-2</v>
      </c>
    </row>
    <row r="5" spans="1:8" x14ac:dyDescent="0.2">
      <c r="A5" s="18" t="s">
        <v>63</v>
      </c>
      <c r="B5" s="86">
        <v>408.97772450194213</v>
      </c>
    </row>
    <row r="6" spans="1:8" x14ac:dyDescent="0.2">
      <c r="A6" s="18" t="s">
        <v>29</v>
      </c>
    </row>
    <row r="7" spans="1:8" x14ac:dyDescent="0.2">
      <c r="A7" s="18" t="s">
        <v>0</v>
      </c>
      <c r="B7" s="18" t="s">
        <v>1</v>
      </c>
      <c r="C7" s="18" t="s">
        <v>7</v>
      </c>
      <c r="D7" s="18" t="s">
        <v>8</v>
      </c>
      <c r="E7" s="18" t="s">
        <v>6</v>
      </c>
      <c r="F7" s="18" t="s">
        <v>8</v>
      </c>
      <c r="G7" s="18" t="s">
        <v>65</v>
      </c>
      <c r="H7" s="18" t="s">
        <v>64</v>
      </c>
    </row>
    <row r="8" spans="1:8" x14ac:dyDescent="0.2">
      <c r="A8" s="50">
        <v>1440</v>
      </c>
      <c r="B8" s="50">
        <v>2178</v>
      </c>
      <c r="C8" s="40">
        <v>10</v>
      </c>
      <c r="D8" s="40">
        <v>3.4802564155294116</v>
      </c>
      <c r="E8" s="17" t="str">
        <f>IF((($B$30*80%)+(50%*$B$31))&gt;=A8,IF((($B$30*80%)+(50%*$B$31))&lt;B8,C8," ")," ")</f>
        <v xml:space="preserve"> </v>
      </c>
      <c r="F8" s="48" t="str">
        <f>IF((($B$30*80%)+(50%*$B$31))&gt;=A8,IF((($B$30*80%)+(50%*$B$31))&lt;B8,D8," ")," ")</f>
        <v xml:space="preserve"> </v>
      </c>
      <c r="G8" s="87">
        <v>0.1</v>
      </c>
      <c r="H8" s="40">
        <v>1</v>
      </c>
    </row>
    <row r="9" spans="1:8" x14ac:dyDescent="0.2">
      <c r="A9" s="50">
        <v>2178</v>
      </c>
      <c r="B9" s="50">
        <v>2395.8000000000002</v>
      </c>
      <c r="C9" s="40">
        <v>10</v>
      </c>
      <c r="D9" s="40">
        <v>3.4802564155294116</v>
      </c>
      <c r="E9" s="17" t="str">
        <f t="shared" ref="E9:E15" si="0">IF((($B$30*80%)+(50%*$B$31))&gt;=A9,IF((($B$30*80%)+(50%*$B$31))&lt;B9,C9," ")," ")</f>
        <v xml:space="preserve"> </v>
      </c>
      <c r="F9" s="48" t="str">
        <f t="shared" ref="F9:F15" si="1">IF((($B$30*80%)+(50%*$B$31))&gt;=A9,IF((($B$30*80%)+(50%*$B$31))&lt;B9,D9," ")," ")</f>
        <v xml:space="preserve"> </v>
      </c>
      <c r="G9" s="87">
        <v>0.1</v>
      </c>
      <c r="H9" s="40">
        <v>1</v>
      </c>
    </row>
    <row r="10" spans="1:8" x14ac:dyDescent="0.2">
      <c r="A10" s="50">
        <v>2395.8000000000002</v>
      </c>
      <c r="B10" s="50">
        <v>2874.96</v>
      </c>
      <c r="C10" s="40">
        <v>10</v>
      </c>
      <c r="D10" s="40">
        <v>4.3503205194117642</v>
      </c>
      <c r="E10" s="17" t="str">
        <f t="shared" si="0"/>
        <v xml:space="preserve"> </v>
      </c>
      <c r="F10" s="48" t="str">
        <f t="shared" si="1"/>
        <v xml:space="preserve"> </v>
      </c>
      <c r="G10" s="87">
        <v>0.2</v>
      </c>
      <c r="H10" s="40">
        <v>1.25</v>
      </c>
    </row>
    <row r="11" spans="1:8" x14ac:dyDescent="0.2">
      <c r="A11" s="50">
        <v>2874.96</v>
      </c>
      <c r="B11" s="50">
        <v>3449.9520000000002</v>
      </c>
      <c r="C11" s="40">
        <v>10</v>
      </c>
      <c r="D11" s="40">
        <v>5.2203846232941178</v>
      </c>
      <c r="E11" s="17" t="str">
        <f t="shared" si="0"/>
        <v xml:space="preserve"> </v>
      </c>
      <c r="F11" s="48" t="str">
        <f t="shared" si="1"/>
        <v xml:space="preserve"> </v>
      </c>
      <c r="G11" s="87">
        <v>0.2</v>
      </c>
      <c r="H11" s="40">
        <v>1.5</v>
      </c>
    </row>
    <row r="12" spans="1:8" x14ac:dyDescent="0.2">
      <c r="A12" s="50">
        <v>3449.9520000000002</v>
      </c>
      <c r="B12" s="50">
        <v>4484.9376000000002</v>
      </c>
      <c r="C12" s="40">
        <v>10</v>
      </c>
      <c r="D12" s="40">
        <v>6.0904487271764705</v>
      </c>
      <c r="E12" s="17" t="str">
        <f t="shared" si="0"/>
        <v xml:space="preserve"> </v>
      </c>
      <c r="F12" s="48" t="str">
        <f t="shared" si="1"/>
        <v xml:space="preserve"> </v>
      </c>
      <c r="G12" s="87">
        <v>0.3</v>
      </c>
      <c r="H12" s="40">
        <v>1.75</v>
      </c>
    </row>
    <row r="13" spans="1:8" x14ac:dyDescent="0.2">
      <c r="A13" s="50">
        <v>4484.9376000000002</v>
      </c>
      <c r="B13" s="50">
        <v>5830.4188800000002</v>
      </c>
      <c r="C13" s="40">
        <v>10</v>
      </c>
      <c r="D13" s="40">
        <v>6.9605128310588231</v>
      </c>
      <c r="E13" s="17" t="str">
        <f t="shared" si="0"/>
        <v xml:space="preserve"> </v>
      </c>
      <c r="F13" s="48" t="str">
        <f t="shared" si="1"/>
        <v xml:space="preserve"> </v>
      </c>
      <c r="G13" s="87">
        <v>0.3</v>
      </c>
      <c r="H13" s="40">
        <v>2</v>
      </c>
    </row>
    <row r="14" spans="1:8" x14ac:dyDescent="0.2">
      <c r="A14" s="50">
        <v>5830.4188800000002</v>
      </c>
      <c r="B14" s="50">
        <v>8162.5864320000001</v>
      </c>
      <c r="C14" s="40">
        <v>10</v>
      </c>
      <c r="D14" s="40">
        <v>7.3085384726117644</v>
      </c>
      <c r="E14" s="17" t="str">
        <f t="shared" si="0"/>
        <v xml:space="preserve"> </v>
      </c>
      <c r="F14" s="48" t="str">
        <f t="shared" si="1"/>
        <v xml:space="preserve"> </v>
      </c>
      <c r="G14" s="87">
        <v>0.4</v>
      </c>
      <c r="H14" s="40">
        <v>2.1</v>
      </c>
    </row>
    <row r="15" spans="1:8" x14ac:dyDescent="0.2">
      <c r="A15" s="50">
        <v>8162.5864320000001</v>
      </c>
      <c r="B15" s="50">
        <v>11427.621004799999</v>
      </c>
      <c r="C15" s="40">
        <v>10</v>
      </c>
      <c r="D15" s="40">
        <v>7.8305769349411758</v>
      </c>
      <c r="E15" s="17" t="str">
        <f t="shared" si="0"/>
        <v xml:space="preserve"> </v>
      </c>
      <c r="F15" s="48" t="str">
        <f t="shared" si="1"/>
        <v xml:space="preserve"> </v>
      </c>
      <c r="G15" s="87">
        <v>0.4</v>
      </c>
      <c r="H15" s="40">
        <v>2.25</v>
      </c>
    </row>
    <row r="16" spans="1:8" x14ac:dyDescent="0.2">
      <c r="A16" s="50">
        <v>11427.621004799999</v>
      </c>
      <c r="B16" s="50">
        <v>17141.431507199999</v>
      </c>
      <c r="C16" s="40">
        <v>10</v>
      </c>
      <c r="D16" s="40">
        <v>8.7006410388235285</v>
      </c>
      <c r="E16" s="17" t="str">
        <f t="shared" ref="E16:E24" si="2">IF((($B$30*80%)+(50%*$B$31))&gt;=A16,IF((($B$30*80%)+(50%*$B$31))&lt;B16,C16," ")," ")</f>
        <v xml:space="preserve"> </v>
      </c>
      <c r="F16" s="48" t="str">
        <f t="shared" ref="F16:F24" si="3">IF((($B$30*80%)+(50%*$B$31))&gt;=A16,IF((($B$30*80%)+(50%*$B$31))&lt;B16,D16," ")," ")</f>
        <v xml:space="preserve"> </v>
      </c>
      <c r="G16" s="87">
        <v>0.5</v>
      </c>
      <c r="H16" s="40">
        <v>2.5</v>
      </c>
    </row>
    <row r="17" spans="1:8" x14ac:dyDescent="0.2">
      <c r="A17" s="50">
        <v>17141.431507199999</v>
      </c>
      <c r="B17" s="50">
        <v>25712.147260799997</v>
      </c>
      <c r="C17" s="40">
        <v>10</v>
      </c>
      <c r="D17" s="40">
        <v>9.5707051427058811</v>
      </c>
      <c r="E17" s="17" t="str">
        <f t="shared" si="2"/>
        <v xml:space="preserve"> </v>
      </c>
      <c r="F17" s="48" t="str">
        <f t="shared" si="3"/>
        <v xml:space="preserve"> </v>
      </c>
      <c r="G17" s="87">
        <v>0.5</v>
      </c>
      <c r="H17" s="40">
        <v>2.75</v>
      </c>
    </row>
    <row r="18" spans="1:8" x14ac:dyDescent="0.2">
      <c r="A18" s="50">
        <v>25712.147260799997</v>
      </c>
      <c r="B18" s="50">
        <v>38568.220891199991</v>
      </c>
      <c r="C18" s="40">
        <v>10</v>
      </c>
      <c r="D18" s="40">
        <v>10.440769246588236</v>
      </c>
      <c r="E18" s="17" t="str">
        <f t="shared" si="2"/>
        <v xml:space="preserve"> </v>
      </c>
      <c r="F18" s="48" t="str">
        <f>IF((($B$30*80%)+(50%*$B$31))&gt;=A18,IF((($B$30*80%)+(50%*$B$31))&lt;B18,D18," ")," ")</f>
        <v xml:space="preserve"> </v>
      </c>
      <c r="G18" s="87">
        <v>0.5</v>
      </c>
      <c r="H18" s="40">
        <v>3</v>
      </c>
    </row>
    <row r="19" spans="1:8" x14ac:dyDescent="0.2">
      <c r="A19" s="50">
        <v>38568.220891199991</v>
      </c>
      <c r="B19" s="50">
        <v>53995.509247679991</v>
      </c>
      <c r="C19" s="40">
        <v>10</v>
      </c>
      <c r="D19" s="40">
        <v>10.788794888141176</v>
      </c>
      <c r="E19" s="17" t="str">
        <f t="shared" si="2"/>
        <v xml:space="preserve"> </v>
      </c>
      <c r="F19" s="48" t="str">
        <f t="shared" si="3"/>
        <v xml:space="preserve"> </v>
      </c>
      <c r="G19" s="87">
        <v>0.4</v>
      </c>
      <c r="H19" s="40">
        <v>3.1</v>
      </c>
    </row>
    <row r="20" spans="1:8" x14ac:dyDescent="0.2">
      <c r="A20" s="50">
        <v>53995.509247679991</v>
      </c>
      <c r="B20" s="50">
        <v>70194.162021983982</v>
      </c>
      <c r="C20" s="40">
        <v>10</v>
      </c>
      <c r="D20" s="40">
        <v>11.310833350470588</v>
      </c>
      <c r="E20" s="17" t="str">
        <f t="shared" si="2"/>
        <v xml:space="preserve"> </v>
      </c>
      <c r="F20" s="48" t="str">
        <f t="shared" si="3"/>
        <v xml:space="preserve"> </v>
      </c>
      <c r="G20" s="87">
        <v>0.3</v>
      </c>
      <c r="H20" s="40">
        <v>3.25</v>
      </c>
    </row>
    <row r="21" spans="1:8" x14ac:dyDescent="0.2">
      <c r="A21" s="50">
        <v>70194.162021983982</v>
      </c>
      <c r="B21" s="50">
        <v>84232.994426380785</v>
      </c>
      <c r="C21" s="40">
        <v>10</v>
      </c>
      <c r="D21" s="40">
        <v>12.180897454352941</v>
      </c>
      <c r="E21" s="17" t="str">
        <f t="shared" si="2"/>
        <v xml:space="preserve"> </v>
      </c>
      <c r="F21" s="48" t="str">
        <f t="shared" si="3"/>
        <v xml:space="preserve"> </v>
      </c>
      <c r="G21" s="87">
        <v>0.2</v>
      </c>
      <c r="H21" s="40">
        <v>3.5</v>
      </c>
    </row>
    <row r="22" spans="1:8" x14ac:dyDescent="0.2">
      <c r="A22" s="50">
        <v>84232.994426380785</v>
      </c>
      <c r="B22" s="50">
        <v>92656.29386901886</v>
      </c>
      <c r="C22" s="40">
        <v>10</v>
      </c>
      <c r="D22" s="40">
        <v>13.050961558235294</v>
      </c>
      <c r="E22" s="17" t="str">
        <f t="shared" si="2"/>
        <v xml:space="preserve"> </v>
      </c>
      <c r="F22" s="48" t="str">
        <f t="shared" si="3"/>
        <v xml:space="preserve"> </v>
      </c>
      <c r="G22" s="87">
        <v>0.1</v>
      </c>
      <c r="H22" s="40">
        <v>3.75</v>
      </c>
    </row>
    <row r="23" spans="1:8" x14ac:dyDescent="0.2">
      <c r="A23" s="50">
        <v>92656.29386901886</v>
      </c>
      <c r="B23" s="50">
        <v>101921.92325592074</v>
      </c>
      <c r="C23" s="40">
        <v>10</v>
      </c>
      <c r="D23" s="40">
        <v>13.921025662117646</v>
      </c>
      <c r="E23" s="17" t="str">
        <f t="shared" si="2"/>
        <v xml:space="preserve"> </v>
      </c>
      <c r="F23" s="48" t="str">
        <f t="shared" si="3"/>
        <v xml:space="preserve"> </v>
      </c>
      <c r="G23" s="87">
        <v>0.1</v>
      </c>
      <c r="H23" s="40">
        <v>4</v>
      </c>
    </row>
    <row r="24" spans="1:8" x14ac:dyDescent="0.2">
      <c r="A24" s="50">
        <v>101921.92325592074</v>
      </c>
      <c r="B24" s="50">
        <v>999999999999</v>
      </c>
      <c r="C24" s="40">
        <v>10</v>
      </c>
      <c r="D24" s="40">
        <v>14.269051303670587</v>
      </c>
      <c r="E24" s="17" t="str">
        <f t="shared" si="2"/>
        <v xml:space="preserve"> </v>
      </c>
      <c r="F24" s="48" t="str">
        <f t="shared" si="3"/>
        <v xml:space="preserve"> </v>
      </c>
      <c r="G24" s="87">
        <v>0.1</v>
      </c>
      <c r="H24" s="40">
        <v>4.0999999999999996</v>
      </c>
    </row>
    <row r="25" spans="1:8" x14ac:dyDescent="0.2">
      <c r="A25" s="50"/>
      <c r="B25" s="50"/>
      <c r="C25" s="40"/>
      <c r="D25" s="40"/>
      <c r="E25" s="17"/>
      <c r="F25" s="48"/>
    </row>
    <row r="26" spans="1:8" x14ac:dyDescent="0.2">
      <c r="A26" s="50"/>
      <c r="B26" s="50"/>
      <c r="C26" s="40"/>
      <c r="D26" s="40"/>
      <c r="E26" s="17"/>
      <c r="F26" s="48"/>
    </row>
    <row r="28" spans="1:8" x14ac:dyDescent="0.2">
      <c r="A28" s="41" t="s">
        <v>46</v>
      </c>
      <c r="B28" s="41" t="s">
        <v>10</v>
      </c>
      <c r="C28" s="41" t="s">
        <v>12</v>
      </c>
    </row>
    <row r="29" spans="1:8" x14ac:dyDescent="0.2">
      <c r="A29" s="18" t="s">
        <v>11</v>
      </c>
      <c r="B29" s="78">
        <f>+(B30*80%)+(50%*B31)-B32-(1+B33)*B36*B37</f>
        <v>0</v>
      </c>
      <c r="C29" s="19" t="e">
        <f>+PV($B$35/12,$B$34,-$B$29,0,0)</f>
        <v>#VALUE!</v>
      </c>
    </row>
    <row r="30" spans="1:8" x14ac:dyDescent="0.2">
      <c r="A30" s="36" t="s">
        <v>24</v>
      </c>
      <c r="B30" s="78">
        <f>+Tabla!$D$20</f>
        <v>0</v>
      </c>
      <c r="C30" s="18"/>
      <c r="D30" s="49"/>
      <c r="E30" s="49"/>
    </row>
    <row r="31" spans="1:8" x14ac:dyDescent="0.2">
      <c r="A31" s="36" t="s">
        <v>23</v>
      </c>
      <c r="B31" s="78">
        <f>+Tabla!$D$21</f>
        <v>0</v>
      </c>
      <c r="C31" s="18"/>
    </row>
    <row r="32" spans="1:8" x14ac:dyDescent="0.2">
      <c r="A32" s="37" t="s">
        <v>3</v>
      </c>
      <c r="B32" s="78">
        <f>+Tabla!$D$22</f>
        <v>0</v>
      </c>
      <c r="C32" s="18"/>
    </row>
    <row r="33" spans="1:8" x14ac:dyDescent="0.2">
      <c r="A33" s="36" t="s">
        <v>4</v>
      </c>
      <c r="B33" s="54">
        <f>+Tabla!$D$23</f>
        <v>0</v>
      </c>
      <c r="C33" s="18"/>
    </row>
    <row r="34" spans="1:8" x14ac:dyDescent="0.2">
      <c r="A34" s="36" t="s">
        <v>21</v>
      </c>
      <c r="B34" s="38" t="str">
        <f>+Tabla!D17</f>
        <v/>
      </c>
      <c r="C34" s="18"/>
    </row>
    <row r="35" spans="1:8" x14ac:dyDescent="0.2">
      <c r="A35" s="16" t="s">
        <v>9</v>
      </c>
      <c r="B35" s="39" t="str">
        <f>+Tabla!D15</f>
        <v/>
      </c>
      <c r="C35" s="18"/>
    </row>
    <row r="36" spans="1:8" x14ac:dyDescent="0.2">
      <c r="A36" s="16" t="s">
        <v>6</v>
      </c>
      <c r="B36" s="78">
        <f>+SUM($E$8:$E$24)*$C$2</f>
        <v>0</v>
      </c>
      <c r="C36" s="18"/>
    </row>
    <row r="37" spans="1:8" x14ac:dyDescent="0.2">
      <c r="A37" s="16" t="s">
        <v>8</v>
      </c>
      <c r="B37" s="38">
        <f>+SUM($F$8:$F$24)</f>
        <v>0</v>
      </c>
      <c r="C37" s="18"/>
    </row>
    <row r="38" spans="1:8" x14ac:dyDescent="0.2">
      <c r="A38" s="18" t="s">
        <v>5</v>
      </c>
      <c r="B38" s="78">
        <f>+IF(Tabla!$D$24="Si",(B30*0.8+B31*0.5)*0.35-B32,(B30*0.8+B31*0.5)*0.2-B32)</f>
        <v>0</v>
      </c>
      <c r="C38" s="79" t="e">
        <f>+PV(B35/12,B34,-B38,0,0)</f>
        <v>#VALUE!</v>
      </c>
    </row>
    <row r="39" spans="1:8" x14ac:dyDescent="0.2">
      <c r="A39" s="55" t="s">
        <v>47</v>
      </c>
      <c r="B39" s="35"/>
      <c r="C39" s="79">
        <f>+Tabla!$D$11</f>
        <v>0</v>
      </c>
      <c r="D39" s="49"/>
    </row>
    <row r="40" spans="1:8" x14ac:dyDescent="0.2">
      <c r="A40" s="55" t="s">
        <v>41</v>
      </c>
      <c r="B40" s="35"/>
      <c r="C40" s="79">
        <f>+Tabla!$D$12</f>
        <v>0</v>
      </c>
      <c r="D40" s="49"/>
    </row>
    <row r="41" spans="1:8" x14ac:dyDescent="0.2">
      <c r="A41" s="16" t="s">
        <v>35</v>
      </c>
      <c r="B41" s="35"/>
      <c r="C41" s="79">
        <f>+C39*0.2</f>
        <v>0</v>
      </c>
      <c r="D41" s="49"/>
      <c r="F41" s="49"/>
      <c r="G41" s="49"/>
      <c r="H41" s="49"/>
    </row>
    <row r="42" spans="1:8" x14ac:dyDescent="0.2">
      <c r="A42" s="16" t="s">
        <v>30</v>
      </c>
      <c r="B42" s="78" t="str">
        <f>+IF(ISERROR(-PMT(B35/12,B34,C42,0,0)),"",-PMT(B35/12,B34,C42,0,0))</f>
        <v/>
      </c>
      <c r="C42" s="79">
        <f>+C39-C40</f>
        <v>0</v>
      </c>
      <c r="D42" s="49"/>
      <c r="E42" s="49"/>
      <c r="G42" s="49"/>
      <c r="H42" s="49"/>
    </row>
    <row r="43" spans="1:8" x14ac:dyDescent="0.2">
      <c r="A43" s="18" t="s">
        <v>26</v>
      </c>
      <c r="B43" s="78" t="e">
        <f>+PMT(B35/12,B34,-C43,0,0)</f>
        <v>#VALUE!</v>
      </c>
      <c r="C43" s="79" t="e">
        <f>+MIN(C29,C38,C42)</f>
        <v>#VALUE!</v>
      </c>
    </row>
    <row r="44" spans="1:8" x14ac:dyDescent="0.2">
      <c r="A44" s="18" t="s">
        <v>40</v>
      </c>
      <c r="B44" s="35"/>
      <c r="C44" s="19" t="str">
        <f>+IF(C40&lt;C41,"Inicial menor a la requerida",IF(OR(Tabla!D11="",Tabla!D12="",Tabla!$D$20="",Tabla!$D$22="",Tabla!$D$23="",Tabla!$D$24=""),"",IF(OR(C38&lt;=0,C29&lt;=0),"Capacidad de pago insuficiente",IF(C43&lt;20000,"Capacidad de pago insuficiente",IF(C43&lt;20000,"Mínimo monto",IF(C43&lt;C38,"Califica para el crédito",IF(C42&gt;C43,"Máximo monto","")))))))</f>
        <v/>
      </c>
    </row>
    <row r="46" spans="1:8" x14ac:dyDescent="0.2">
      <c r="A46" s="41" t="s">
        <v>59</v>
      </c>
      <c r="B46" s="41" t="s">
        <v>10</v>
      </c>
      <c r="C46" s="41" t="s">
        <v>12</v>
      </c>
    </row>
    <row r="47" spans="1:8" x14ac:dyDescent="0.2">
      <c r="A47" s="18" t="s">
        <v>11</v>
      </c>
      <c r="B47" s="78">
        <f>+(B48*80%)+(50%*B49)-B50-(1+B51)*B54*B55</f>
        <v>0</v>
      </c>
      <c r="C47" s="19" t="e">
        <f>+PV($B$35/12,$B$34,-$B$29,0,0)</f>
        <v>#VALUE!</v>
      </c>
    </row>
    <row r="48" spans="1:8" x14ac:dyDescent="0.2">
      <c r="A48" s="36" t="s">
        <v>24</v>
      </c>
      <c r="B48" s="78">
        <f>+Tabla!$D$20</f>
        <v>0</v>
      </c>
      <c r="C48" s="18"/>
    </row>
    <row r="49" spans="1:4" x14ac:dyDescent="0.2">
      <c r="A49" s="36" t="s">
        <v>23</v>
      </c>
      <c r="B49" s="78">
        <f>+Tabla!$D$21</f>
        <v>0</v>
      </c>
      <c r="C49" s="18"/>
    </row>
    <row r="50" spans="1:4" x14ac:dyDescent="0.2">
      <c r="A50" s="37" t="s">
        <v>3</v>
      </c>
      <c r="B50" s="78">
        <f>+Tabla!$D$22</f>
        <v>0</v>
      </c>
      <c r="C50" s="18"/>
    </row>
    <row r="51" spans="1:4" x14ac:dyDescent="0.2">
      <c r="A51" s="36" t="s">
        <v>4</v>
      </c>
      <c r="B51" s="54">
        <f>+Tabla!$D$23</f>
        <v>0</v>
      </c>
      <c r="C51" s="18"/>
    </row>
    <row r="52" spans="1:4" x14ac:dyDescent="0.2">
      <c r="A52" s="36" t="s">
        <v>21</v>
      </c>
      <c r="B52" s="38" t="str">
        <f>+Tabla!D17</f>
        <v/>
      </c>
      <c r="C52" s="18"/>
    </row>
    <row r="53" spans="1:4" x14ac:dyDescent="0.2">
      <c r="A53" s="16" t="s">
        <v>9</v>
      </c>
      <c r="B53" s="39" t="str">
        <f>+Tabla!D15</f>
        <v/>
      </c>
      <c r="C53" s="18"/>
    </row>
    <row r="54" spans="1:4" x14ac:dyDescent="0.2">
      <c r="A54" s="16" t="s">
        <v>6</v>
      </c>
      <c r="B54" s="78">
        <f>+SUM($E$8:$E$24)*$C$2</f>
        <v>0</v>
      </c>
      <c r="C54" s="18"/>
    </row>
    <row r="55" spans="1:4" x14ac:dyDescent="0.2">
      <c r="A55" s="16" t="s">
        <v>8</v>
      </c>
      <c r="B55" s="38">
        <f>+SUM($F$8:$F$24)</f>
        <v>0</v>
      </c>
      <c r="C55" s="18"/>
    </row>
    <row r="56" spans="1:4" x14ac:dyDescent="0.2">
      <c r="A56" s="18" t="s">
        <v>5</v>
      </c>
      <c r="B56" s="78">
        <f>+IF(Tabla!$D$24="Si",(B48*0.8+B49*0.5)*0.35-B50,(B48*0.8+B49*0.5)*0.2-B50)</f>
        <v>0</v>
      </c>
      <c r="C56" s="79" t="e">
        <f>+PV(B53/12,B52,-B56,0,0)</f>
        <v>#VALUE!</v>
      </c>
    </row>
    <row r="57" spans="1:4" x14ac:dyDescent="0.2">
      <c r="A57" s="55" t="s">
        <v>47</v>
      </c>
      <c r="B57" s="35"/>
      <c r="C57" s="79">
        <f>+Tabla!$D$11</f>
        <v>0</v>
      </c>
    </row>
    <row r="58" spans="1:4" x14ac:dyDescent="0.2">
      <c r="A58" s="55" t="s">
        <v>41</v>
      </c>
      <c r="B58" s="35"/>
      <c r="C58" s="79">
        <f>+Tabla!$D$12</f>
        <v>0</v>
      </c>
    </row>
    <row r="59" spans="1:4" x14ac:dyDescent="0.2">
      <c r="A59" s="16" t="s">
        <v>35</v>
      </c>
      <c r="B59" s="35"/>
      <c r="C59" s="79">
        <f>+C57*0.2</f>
        <v>0</v>
      </c>
      <c r="D59" s="88"/>
    </row>
    <row r="60" spans="1:4" x14ac:dyDescent="0.2">
      <c r="A60" s="16" t="s">
        <v>30</v>
      </c>
      <c r="B60" s="78" t="str">
        <f>+IF(ISERROR(-PMT(B53/12,B52,C60,0,0)),"",-PMT(B53/12,B52,C60,0,0))</f>
        <v/>
      </c>
      <c r="C60" s="79">
        <f>+C57-C58</f>
        <v>0</v>
      </c>
    </row>
    <row r="61" spans="1:4" x14ac:dyDescent="0.2">
      <c r="A61" s="18" t="s">
        <v>26</v>
      </c>
      <c r="B61" s="78" t="e">
        <f>+PMT(B53/12,B52,-C61,0,0)</f>
        <v>#VALUE!</v>
      </c>
      <c r="C61" s="79" t="e">
        <f>+MIN(C47,C56,C60)</f>
        <v>#VALUE!</v>
      </c>
    </row>
    <row r="62" spans="1:4" x14ac:dyDescent="0.2">
      <c r="A62" s="18" t="s">
        <v>40</v>
      </c>
      <c r="B62" s="35"/>
      <c r="C62" s="19" t="str">
        <f>+IF(C58&lt;C59,"Inicial menor a la requerida",IF(OR(Tabla!D11="",Tabla!D12="",Tabla!$D$20="",Tabla!$D$22="",Tabla!$D$23="",Tabla!$D$24=""),"",IF(OR(C56&lt;=0,C47&lt;=0),"Capacidad de pago insuficiente",IF(C61&lt;20000,"Capacidad de pago insuficiente",IF(C61&lt;20000,"Mínimo monto",IF(C61&lt;C56,"Califica para el crédito",IF(C60&gt;C61,"Máximo monto","")))))))</f>
        <v/>
      </c>
    </row>
    <row r="66" spans="1:1" x14ac:dyDescent="0.2">
      <c r="A66" s="76" t="s">
        <v>61</v>
      </c>
    </row>
    <row r="67" spans="1:1" x14ac:dyDescent="0.2">
      <c r="A67">
        <v>6</v>
      </c>
    </row>
    <row r="68" spans="1:1" x14ac:dyDescent="0.2">
      <c r="A68">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vt:lpstr>
      <vt:lpstr>Factor</vt:lpstr>
      <vt:lpstr>Tabla!Área_de_impresión</vt:lpstr>
      <vt:lpstr>Rango_de_plazo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2018-01-15T13:14:58Z</cp:lastPrinted>
  <dcterms:created xsi:type="dcterms:W3CDTF">2014-04-30T19:09:07Z</dcterms:created>
  <dcterms:modified xsi:type="dcterms:W3CDTF">2018-12-12T13:19:16Z</dcterms:modified>
</cp:coreProperties>
</file>